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7200" windowHeight="12255" tabRatio="598" firstSheet="22" activeTab="22"/>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CION A OCTUBRE 2015" sheetId="174" r:id="rId23"/>
    <sheet name="P.ACCION A OCTUBRE consolidado" sheetId="175" r:id="rId24"/>
    <sheet name="P.ACCION A OCTUBRE consolid (2" sheetId="17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'P.ACCION A OCTUBRE 2015'!$C:$F,'P.ACCION A OCTUBRE 2015'!$1:$3</definedName>
    <definedName name="_xlnm.Print_Titles" localSheetId="24">'P.ACCION A OCTUBRE consolid (2'!$C:$F,'P.ACCION A OCTUBRE consolid (2'!$1:$3</definedName>
    <definedName name="_xlnm.Print_Titles" localSheetId="23">'P.ACCION A OCTUBRE consolidado'!$C:$F,'P.ACCION A OCTUBRE consolidado'!$1:$3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AU206" i="176" l="1"/>
  <c r="BQ206" i="176" s="1"/>
  <c r="CM196" i="176"/>
  <c r="Y274" i="176"/>
  <c r="Y270" i="176"/>
  <c r="Y271" i="176"/>
  <c r="Y272" i="176"/>
  <c r="Y273" i="176"/>
  <c r="Y269" i="176"/>
  <c r="M274" i="176"/>
  <c r="M273" i="176"/>
  <c r="M272" i="176"/>
  <c r="M271" i="176"/>
  <c r="M270" i="176"/>
  <c r="M269" i="176"/>
  <c r="EC205" i="176"/>
  <c r="DU205" i="176"/>
  <c r="DR205" i="176"/>
  <c r="DO205" i="176"/>
  <c r="DG205" i="176"/>
  <c r="DF205" i="176"/>
  <c r="DA205" i="176"/>
  <c r="CZ205" i="176"/>
  <c r="CY205" i="176"/>
  <c r="CX205" i="176"/>
  <c r="CW205" i="176"/>
  <c r="CV205" i="176"/>
  <c r="CU205" i="176"/>
  <c r="CT205" i="176"/>
  <c r="CS205" i="176"/>
  <c r="CR205" i="176"/>
  <c r="CQ205" i="176"/>
  <c r="CP205" i="176"/>
  <c r="CJ205" i="176"/>
  <c r="BZ205" i="176"/>
  <c r="BW205" i="176"/>
  <c r="BU205" i="176"/>
  <c r="BO205" i="176"/>
  <c r="BN205" i="176"/>
  <c r="BI205" i="176"/>
  <c r="BH205" i="176"/>
  <c r="BG205" i="176"/>
  <c r="BF205" i="176"/>
  <c r="BE205" i="176"/>
  <c r="BD205" i="176"/>
  <c r="BC205" i="176"/>
  <c r="BB205" i="176"/>
  <c r="BA205" i="176"/>
  <c r="AZ205" i="176"/>
  <c r="AY205" i="176"/>
  <c r="AX205" i="176"/>
  <c r="AR205" i="176"/>
  <c r="AQ205" i="176"/>
  <c r="AP205" i="176"/>
  <c r="AN205" i="176"/>
  <c r="AL205" i="176"/>
  <c r="AK205" i="176"/>
  <c r="AJ205" i="176"/>
  <c r="AI205" i="176"/>
  <c r="AH205" i="176"/>
  <c r="AG205" i="176"/>
  <c r="AF205" i="176"/>
  <c r="AE205" i="176"/>
  <c r="AD205" i="176"/>
  <c r="AC205" i="176"/>
  <c r="AB205" i="176"/>
  <c r="Z205" i="176"/>
  <c r="G205" i="176"/>
  <c r="AT204" i="176"/>
  <c r="AT206" i="176" s="1"/>
  <c r="EC203" i="176"/>
  <c r="DU203" i="176"/>
  <c r="DR203" i="176"/>
  <c r="DK203" i="176"/>
  <c r="DG203" i="176"/>
  <c r="DF203" i="176"/>
  <c r="DE203" i="176"/>
  <c r="DD203" i="176"/>
  <c r="DB203" i="176"/>
  <c r="CZ203" i="176"/>
  <c r="CY203" i="176"/>
  <c r="CX203" i="176"/>
  <c r="CW203" i="176"/>
  <c r="CV203" i="176"/>
  <c r="CS203" i="176"/>
  <c r="CQ203" i="176"/>
  <c r="CP203" i="176"/>
  <c r="CO203" i="176"/>
  <c r="CK203" i="176"/>
  <c r="BZ203" i="176"/>
  <c r="BU203" i="176"/>
  <c r="BO203" i="176"/>
  <c r="BN203" i="176"/>
  <c r="BM203" i="176"/>
  <c r="BL203" i="176"/>
  <c r="BJ203" i="176"/>
  <c r="BH203" i="176"/>
  <c r="BG203" i="176"/>
  <c r="BF203" i="176"/>
  <c r="BE203" i="176"/>
  <c r="BD203" i="176"/>
  <c r="AY203" i="176"/>
  <c r="AX203" i="176"/>
  <c r="AW203" i="176"/>
  <c r="AR203" i="176"/>
  <c r="AQ203" i="176"/>
  <c r="AP203" i="176"/>
  <c r="AO203" i="176"/>
  <c r="AM203" i="176"/>
  <c r="AK203" i="176"/>
  <c r="AJ203" i="176"/>
  <c r="AI203" i="176"/>
  <c r="AH203" i="176"/>
  <c r="AG203" i="176"/>
  <c r="AD203" i="176"/>
  <c r="AB203" i="176"/>
  <c r="Z203" i="176"/>
  <c r="G203" i="176"/>
  <c r="DU202" i="176"/>
  <c r="DR202" i="176"/>
  <c r="DM202" i="176"/>
  <c r="DG202" i="176"/>
  <c r="DF202" i="176"/>
  <c r="DE202" i="176"/>
  <c r="DA202" i="176"/>
  <c r="CZ202" i="176"/>
  <c r="CY202" i="176"/>
  <c r="CX202" i="176"/>
  <c r="CW202" i="176"/>
  <c r="CV202" i="176"/>
  <c r="CU202" i="176"/>
  <c r="CS202" i="176"/>
  <c r="CR202" i="176"/>
  <c r="CQ202" i="176"/>
  <c r="CP202" i="176"/>
  <c r="CO202" i="176"/>
  <c r="BZ202" i="176"/>
  <c r="BU202" i="176"/>
  <c r="BO202" i="176"/>
  <c r="BN202" i="176"/>
  <c r="BM202" i="176"/>
  <c r="BI202" i="176"/>
  <c r="BH202" i="176"/>
  <c r="BG202" i="176"/>
  <c r="BF202" i="176"/>
  <c r="BE202" i="176"/>
  <c r="BD202" i="176"/>
  <c r="BC202" i="176"/>
  <c r="BA202" i="176"/>
  <c r="AZ202" i="176"/>
  <c r="AY202" i="176"/>
  <c r="AX202" i="176"/>
  <c r="AW202" i="176"/>
  <c r="AR202" i="176"/>
  <c r="AQ202" i="176"/>
  <c r="AP202" i="176"/>
  <c r="AO202" i="176"/>
  <c r="AL202" i="176"/>
  <c r="AK202" i="176"/>
  <c r="AJ202" i="176"/>
  <c r="AI202" i="176"/>
  <c r="AH202" i="176"/>
  <c r="AG202" i="176"/>
  <c r="AF202" i="176"/>
  <c r="AD202" i="176"/>
  <c r="AB202" i="176"/>
  <c r="AA202" i="176"/>
  <c r="Z202" i="176"/>
  <c r="G202" i="176"/>
  <c r="EC201" i="176"/>
  <c r="DU201" i="176"/>
  <c r="DO201" i="176"/>
  <c r="DK201" i="176"/>
  <c r="DG201" i="176"/>
  <c r="DE201" i="176"/>
  <c r="CZ201" i="176"/>
  <c r="CY201" i="176"/>
  <c r="CX201" i="176"/>
  <c r="CS201" i="176"/>
  <c r="CO201" i="176"/>
  <c r="BW201" i="176"/>
  <c r="BO201" i="176"/>
  <c r="BM201" i="176"/>
  <c r="BH201" i="176"/>
  <c r="BG201" i="176"/>
  <c r="BF201" i="176"/>
  <c r="BA201" i="176"/>
  <c r="AW201" i="176"/>
  <c r="AR201" i="176"/>
  <c r="AQ201" i="176"/>
  <c r="AP201" i="176"/>
  <c r="AK201" i="176"/>
  <c r="AJ201" i="176"/>
  <c r="AI201" i="176"/>
  <c r="AH201" i="176"/>
  <c r="AG201" i="176"/>
  <c r="AD201" i="176"/>
  <c r="AB201" i="176"/>
  <c r="Z201" i="176"/>
  <c r="G201" i="176"/>
  <c r="DU200" i="176"/>
  <c r="DR200" i="176"/>
  <c r="DM200" i="176"/>
  <c r="DG200" i="176"/>
  <c r="DF200" i="176"/>
  <c r="DE200" i="176"/>
  <c r="DD200" i="176"/>
  <c r="DC200" i="176"/>
  <c r="DB200" i="176"/>
  <c r="DA200" i="176"/>
  <c r="CZ200" i="176"/>
  <c r="CY200" i="176"/>
  <c r="CX200" i="176"/>
  <c r="CW200" i="176"/>
  <c r="CV200" i="176"/>
  <c r="CS200" i="176"/>
  <c r="CR200" i="176"/>
  <c r="CQ200" i="176"/>
  <c r="CP200" i="176"/>
  <c r="CO200" i="176"/>
  <c r="CK200" i="176"/>
  <c r="CJ200" i="176"/>
  <c r="BZ200" i="176"/>
  <c r="BU200" i="176"/>
  <c r="BO200" i="176"/>
  <c r="BN200" i="176"/>
  <c r="BM200" i="176"/>
  <c r="BK200" i="176"/>
  <c r="BJ200" i="176"/>
  <c r="BI200" i="176"/>
  <c r="BH200" i="176"/>
  <c r="BG200" i="176"/>
  <c r="BF200" i="176"/>
  <c r="BE200" i="176"/>
  <c r="BD200" i="176"/>
  <c r="BA200" i="176"/>
  <c r="AZ200" i="176"/>
  <c r="AY200" i="176"/>
  <c r="AX200" i="176"/>
  <c r="AW200" i="176"/>
  <c r="AR200" i="176"/>
  <c r="AQ200" i="176"/>
  <c r="AP200" i="176"/>
  <c r="AM200" i="176"/>
  <c r="AL200" i="176"/>
  <c r="AK200" i="176"/>
  <c r="AJ200" i="176"/>
  <c r="AI200" i="176"/>
  <c r="AH200" i="176"/>
  <c r="AG200" i="176"/>
  <c r="AE200" i="176"/>
  <c r="AD200" i="176"/>
  <c r="AC200" i="176"/>
  <c r="AB200" i="176"/>
  <c r="Z200" i="176"/>
  <c r="G200" i="176"/>
  <c r="DU199" i="176"/>
  <c r="DR199" i="176"/>
  <c r="DK199" i="176"/>
  <c r="DG199" i="176"/>
  <c r="DF199" i="176"/>
  <c r="DE199" i="176"/>
  <c r="DD199" i="176"/>
  <c r="DB199" i="176"/>
  <c r="DA199" i="176"/>
  <c r="CY199" i="176"/>
  <c r="CX199" i="176"/>
  <c r="CW199" i="176"/>
  <c r="CV199" i="176"/>
  <c r="CU199" i="176"/>
  <c r="CS199" i="176"/>
  <c r="CQ199" i="176"/>
  <c r="CP199" i="176"/>
  <c r="CO199" i="176"/>
  <c r="BZ199" i="176"/>
  <c r="BU199" i="176"/>
  <c r="BN199" i="176"/>
  <c r="BM199" i="176"/>
  <c r="BL199" i="176"/>
  <c r="BJ199" i="176"/>
  <c r="BI199" i="176"/>
  <c r="BG199" i="176"/>
  <c r="BF199" i="176"/>
  <c r="BE199" i="176"/>
  <c r="BD199" i="176"/>
  <c r="BC199" i="176"/>
  <c r="BA199" i="176"/>
  <c r="AY199" i="176"/>
  <c r="AX199" i="176"/>
  <c r="AW199" i="176"/>
  <c r="AR199" i="176"/>
  <c r="AQ199" i="176"/>
  <c r="AP199" i="176"/>
  <c r="AO199" i="176"/>
  <c r="AM199" i="176"/>
  <c r="AL199" i="176"/>
  <c r="AK199" i="176"/>
  <c r="AJ199" i="176"/>
  <c r="AI199" i="176"/>
  <c r="AH199" i="176"/>
  <c r="AG199" i="176"/>
  <c r="AE199" i="176"/>
  <c r="AB199" i="176"/>
  <c r="Z199" i="176"/>
  <c r="G199" i="176"/>
  <c r="EC198" i="176"/>
  <c r="DR198" i="176"/>
  <c r="DM198" i="176"/>
  <c r="DL198" i="176"/>
  <c r="DK198" i="176"/>
  <c r="DH198" i="176"/>
  <c r="DG198" i="176"/>
  <c r="DF198" i="176"/>
  <c r="DE198" i="176"/>
  <c r="DC198" i="176"/>
  <c r="DB198" i="176"/>
  <c r="DA198" i="176"/>
  <c r="CZ198" i="176"/>
  <c r="CY198" i="176"/>
  <c r="CX198" i="176"/>
  <c r="CW198" i="176"/>
  <c r="CV198" i="176"/>
  <c r="CU198" i="176"/>
  <c r="CT198" i="176"/>
  <c r="CQ198" i="176"/>
  <c r="CP198" i="176"/>
  <c r="CO198" i="176"/>
  <c r="BZ198" i="176"/>
  <c r="BU198" i="176"/>
  <c r="BS198" i="176"/>
  <c r="BO198" i="176"/>
  <c r="BN198" i="176"/>
  <c r="BM198" i="176"/>
  <c r="BK198" i="176"/>
  <c r="BJ198" i="176"/>
  <c r="BI198" i="176"/>
  <c r="BG198" i="176"/>
  <c r="BF198" i="176"/>
  <c r="BE198" i="176"/>
  <c r="BD198" i="176"/>
  <c r="BC198" i="176"/>
  <c r="BB198" i="176"/>
  <c r="AY198" i="176"/>
  <c r="AX198" i="176"/>
  <c r="AW198" i="176"/>
  <c r="AR198" i="176"/>
  <c r="AQ198" i="176"/>
  <c r="AP198" i="176"/>
  <c r="AM198" i="176"/>
  <c r="AL198" i="176"/>
  <c r="AK198" i="176"/>
  <c r="AJ198" i="176"/>
  <c r="AI198" i="176"/>
  <c r="AH198" i="176"/>
  <c r="AG198" i="176"/>
  <c r="AF198" i="176"/>
  <c r="AB198" i="176"/>
  <c r="AA198" i="176"/>
  <c r="Z198" i="176"/>
  <c r="G198" i="176"/>
  <c r="DR194" i="176"/>
  <c r="DK194" i="176"/>
  <c r="DG194" i="176"/>
  <c r="DF194" i="176"/>
  <c r="DE194" i="176"/>
  <c r="DC194" i="176"/>
  <c r="DB194" i="176"/>
  <c r="DA194" i="176"/>
  <c r="CY194" i="176"/>
  <c r="CX194" i="176"/>
  <c r="CW194" i="176"/>
  <c r="CV194" i="176"/>
  <c r="CU194" i="176"/>
  <c r="CP194" i="176"/>
  <c r="CO194" i="176"/>
  <c r="BZ194" i="176"/>
  <c r="BN194" i="176"/>
  <c r="BM194" i="176"/>
  <c r="BJ194" i="176"/>
  <c r="BI194" i="176"/>
  <c r="BG194" i="176"/>
  <c r="BF194" i="176"/>
  <c r="BE194" i="176"/>
  <c r="BD194" i="176"/>
  <c r="BC194" i="176"/>
  <c r="AX194" i="176"/>
  <c r="AW194" i="176"/>
  <c r="AR194" i="176"/>
  <c r="AQ194" i="176"/>
  <c r="AP194" i="176"/>
  <c r="AM194" i="176"/>
  <c r="AL194" i="176"/>
  <c r="AK194" i="176"/>
  <c r="AJ194" i="176"/>
  <c r="AI194" i="176"/>
  <c r="AH194" i="176"/>
  <c r="AG194" i="176"/>
  <c r="AB194" i="176"/>
  <c r="Z194" i="176"/>
  <c r="G194" i="176"/>
  <c r="ED193" i="176"/>
  <c r="EC193" i="176"/>
  <c r="EB193" i="176"/>
  <c r="EA193" i="176"/>
  <c r="DZ193" i="176"/>
  <c r="DY193" i="176"/>
  <c r="DX193" i="176"/>
  <c r="DW193" i="176"/>
  <c r="DV193" i="176"/>
  <c r="DT193" i="176"/>
  <c r="DS193" i="176"/>
  <c r="DQ193" i="176"/>
  <c r="DP193" i="176"/>
  <c r="DO193" i="176"/>
  <c r="CN193" i="176"/>
  <c r="H193" i="176" s="1"/>
  <c r="CL193" i="176"/>
  <c r="CI193" i="176"/>
  <c r="CH193" i="176"/>
  <c r="CG193" i="176"/>
  <c r="CF193" i="176"/>
  <c r="CE193" i="176"/>
  <c r="CD193" i="176"/>
  <c r="CC193" i="176"/>
  <c r="CB193" i="176"/>
  <c r="CA193" i="176"/>
  <c r="BY193" i="176"/>
  <c r="BX193" i="176"/>
  <c r="BW193" i="176"/>
  <c r="BT193" i="176"/>
  <c r="BS193" i="176"/>
  <c r="AV193" i="176"/>
  <c r="AC193" i="176"/>
  <c r="Y193" i="176" s="1"/>
  <c r="EC192" i="176"/>
  <c r="EB192" i="176"/>
  <c r="EA192" i="176"/>
  <c r="DZ192" i="176"/>
  <c r="DY192" i="176"/>
  <c r="DX192" i="176"/>
  <c r="DW192" i="176"/>
  <c r="DV192" i="176"/>
  <c r="DT192" i="176"/>
  <c r="DS192" i="176"/>
  <c r="DQ192" i="176"/>
  <c r="DP192" i="176"/>
  <c r="DO192" i="176"/>
  <c r="DN192" i="176"/>
  <c r="DH192" i="176"/>
  <c r="CN192" i="176" s="1"/>
  <c r="H192" i="176" s="1"/>
  <c r="CI192" i="176"/>
  <c r="CH192" i="176"/>
  <c r="CG192" i="176"/>
  <c r="CF192" i="176"/>
  <c r="CE192" i="176"/>
  <c r="CD192" i="176"/>
  <c r="CC192" i="176"/>
  <c r="CB192" i="176"/>
  <c r="CA192" i="176"/>
  <c r="BY192" i="176"/>
  <c r="BX192" i="176"/>
  <c r="BW192" i="176"/>
  <c r="BV192" i="176"/>
  <c r="BT192" i="176"/>
  <c r="BS192" i="176"/>
  <c r="BP192" i="176"/>
  <c r="AV192" i="176" s="1"/>
  <c r="AS192" i="176"/>
  <c r="Y192" i="176" s="1"/>
  <c r="ED191" i="176"/>
  <c r="EC191" i="176"/>
  <c r="EC200" i="176" s="1"/>
  <c r="EB191" i="176"/>
  <c r="EA191" i="176"/>
  <c r="DZ191" i="176"/>
  <c r="DY191" i="176"/>
  <c r="DX191" i="176"/>
  <c r="DW191" i="176"/>
  <c r="DV191" i="176"/>
  <c r="DT191" i="176"/>
  <c r="DS191" i="176"/>
  <c r="DQ191" i="176"/>
  <c r="DP191" i="176"/>
  <c r="DO191" i="176"/>
  <c r="DN191" i="176"/>
  <c r="DD191" i="176"/>
  <c r="CN191" i="176"/>
  <c r="H191" i="176" s="1"/>
  <c r="CL191" i="176"/>
  <c r="CI191" i="176"/>
  <c r="CG191" i="176"/>
  <c r="CF191" i="176"/>
  <c r="CE191" i="176"/>
  <c r="CD191" i="176"/>
  <c r="CC191" i="176"/>
  <c r="CB191" i="176"/>
  <c r="CA191" i="176"/>
  <c r="BY191" i="176"/>
  <c r="BX191" i="176"/>
  <c r="BW191" i="176"/>
  <c r="BV191" i="176"/>
  <c r="BT191" i="176"/>
  <c r="BS191" i="176"/>
  <c r="BL191" i="176"/>
  <c r="AO191" i="176"/>
  <c r="ED190" i="176"/>
  <c r="EC190" i="176"/>
  <c r="EB190" i="176"/>
  <c r="EA190" i="176"/>
  <c r="DZ190" i="176"/>
  <c r="DY190" i="176"/>
  <c r="DX190" i="176"/>
  <c r="DW190" i="176"/>
  <c r="DV190" i="176"/>
  <c r="DT190" i="176"/>
  <c r="DS190" i="176"/>
  <c r="DQ190" i="176"/>
  <c r="DO190" i="176"/>
  <c r="DN190" i="176"/>
  <c r="CN190" i="176"/>
  <c r="H190" i="176" s="1"/>
  <c r="CL190" i="176"/>
  <c r="CI190" i="176"/>
  <c r="CH190" i="176"/>
  <c r="CG190" i="176"/>
  <c r="CF190" i="176"/>
  <c r="CE190" i="176"/>
  <c r="CD190" i="176"/>
  <c r="CC190" i="176"/>
  <c r="CB190" i="176"/>
  <c r="CA190" i="176"/>
  <c r="BY190" i="176"/>
  <c r="BW190" i="176"/>
  <c r="BV190" i="176"/>
  <c r="BT190" i="176"/>
  <c r="BS190" i="176"/>
  <c r="AV190" i="176"/>
  <c r="AE190" i="176"/>
  <c r="ED189" i="176"/>
  <c r="EC189" i="176"/>
  <c r="EB189" i="176"/>
  <c r="EA189" i="176"/>
  <c r="DZ189" i="176"/>
  <c r="DX189" i="176"/>
  <c r="DW189" i="176"/>
  <c r="DV189" i="176"/>
  <c r="DT189" i="176"/>
  <c r="DS189" i="176"/>
  <c r="DQ189" i="176"/>
  <c r="DP189" i="176"/>
  <c r="DO189" i="176"/>
  <c r="DN189" i="176"/>
  <c r="DC189" i="176"/>
  <c r="CL189" i="176"/>
  <c r="CI189" i="176"/>
  <c r="CH189" i="176"/>
  <c r="CG189" i="176"/>
  <c r="CF189" i="176"/>
  <c r="CE189" i="176"/>
  <c r="CD189" i="176"/>
  <c r="CC189" i="176"/>
  <c r="CB189" i="176"/>
  <c r="CA189" i="176"/>
  <c r="BY189" i="176"/>
  <c r="BX189" i="176"/>
  <c r="BW189" i="176"/>
  <c r="BV189" i="176"/>
  <c r="BT189" i="176"/>
  <c r="BS189" i="176"/>
  <c r="BK189" i="176"/>
  <c r="AV189" i="176" s="1"/>
  <c r="Y189" i="176"/>
  <c r="ED188" i="176"/>
  <c r="EC188" i="176"/>
  <c r="EB188" i="176"/>
  <c r="EA188" i="176"/>
  <c r="DZ188" i="176"/>
  <c r="DY188" i="176"/>
  <c r="DX188" i="176"/>
  <c r="DW188" i="176"/>
  <c r="DV188" i="176"/>
  <c r="DT188" i="176"/>
  <c r="DS188" i="176"/>
  <c r="DQ188" i="176"/>
  <c r="DP188" i="176"/>
  <c r="DO188" i="176"/>
  <c r="DN188" i="176"/>
  <c r="CN188" i="176"/>
  <c r="H188" i="176" s="1"/>
  <c r="CL188" i="176"/>
  <c r="CI188" i="176"/>
  <c r="CH188" i="176"/>
  <c r="CG188" i="176"/>
  <c r="CF188" i="176"/>
  <c r="CE188" i="176"/>
  <c r="CD188" i="176"/>
  <c r="CC188" i="176"/>
  <c r="CB188" i="176"/>
  <c r="CA188" i="176"/>
  <c r="BY188" i="176"/>
  <c r="BX188" i="176"/>
  <c r="BW188" i="176"/>
  <c r="BV188" i="176"/>
  <c r="BT188" i="176"/>
  <c r="BS188" i="176"/>
  <c r="AV188" i="176"/>
  <c r="AU188" i="176" s="1"/>
  <c r="BQ188" i="176" s="1"/>
  <c r="Y188" i="176"/>
  <c r="ED187" i="176"/>
  <c r="EC187" i="176"/>
  <c r="EB187" i="176"/>
  <c r="EA187" i="176"/>
  <c r="DZ187" i="176"/>
  <c r="DY187" i="176"/>
  <c r="DX187" i="176"/>
  <c r="DW187" i="176"/>
  <c r="DV187" i="176"/>
  <c r="DT187" i="176"/>
  <c r="DS187" i="176"/>
  <c r="DQ187" i="176"/>
  <c r="DO187" i="176"/>
  <c r="DN187" i="176"/>
  <c r="CT187" i="176"/>
  <c r="CL187" i="176"/>
  <c r="CI187" i="176"/>
  <c r="CH187" i="176"/>
  <c r="CG187" i="176"/>
  <c r="CF187" i="176"/>
  <c r="CE187" i="176"/>
  <c r="CD187" i="176"/>
  <c r="CC187" i="176"/>
  <c r="CB187" i="176"/>
  <c r="CA187" i="176"/>
  <c r="BY187" i="176"/>
  <c r="BW187" i="176"/>
  <c r="BV187" i="176"/>
  <c r="BT187" i="176"/>
  <c r="BS187" i="176"/>
  <c r="BB187" i="176"/>
  <c r="Y187" i="176"/>
  <c r="ED186" i="176"/>
  <c r="EC186" i="176"/>
  <c r="EB186" i="176"/>
  <c r="EA186" i="176"/>
  <c r="DZ186" i="176"/>
  <c r="DY186" i="176"/>
  <c r="DX186" i="176"/>
  <c r="DW186" i="176"/>
  <c r="DV186" i="176"/>
  <c r="DT186" i="176"/>
  <c r="DS186" i="176"/>
  <c r="DQ186" i="176"/>
  <c r="DP186" i="176"/>
  <c r="DO186" i="176"/>
  <c r="DN186" i="176"/>
  <c r="CN186" i="176"/>
  <c r="H186" i="176" s="1"/>
  <c r="CL186" i="176"/>
  <c r="CI186" i="176"/>
  <c r="CH186" i="176"/>
  <c r="CG186" i="176"/>
  <c r="CF186" i="176"/>
  <c r="CE186" i="176"/>
  <c r="CD186" i="176"/>
  <c r="CC186" i="176"/>
  <c r="CB186" i="176"/>
  <c r="CA186" i="176"/>
  <c r="BY186" i="176"/>
  <c r="BX186" i="176"/>
  <c r="BW186" i="176"/>
  <c r="BV186" i="176"/>
  <c r="BT186" i="176"/>
  <c r="BS186" i="176"/>
  <c r="AV186" i="176"/>
  <c r="Y186" i="176"/>
  <c r="ED185" i="176"/>
  <c r="EC185" i="176"/>
  <c r="EB185" i="176"/>
  <c r="EA185" i="176"/>
  <c r="DZ185" i="176"/>
  <c r="DY185" i="176"/>
  <c r="DX185" i="176"/>
  <c r="DW185" i="176"/>
  <c r="DV185" i="176"/>
  <c r="DT185" i="176"/>
  <c r="DS185" i="176"/>
  <c r="DQ185" i="176"/>
  <c r="DP185" i="176"/>
  <c r="DO185" i="176"/>
  <c r="DN185" i="176"/>
  <c r="CN185" i="176"/>
  <c r="CL185" i="176"/>
  <c r="CI185" i="176"/>
  <c r="CH185" i="176"/>
  <c r="CG185" i="176"/>
  <c r="CF185" i="176"/>
  <c r="CE185" i="176"/>
  <c r="CD185" i="176"/>
  <c r="CC185" i="176"/>
  <c r="CB185" i="176"/>
  <c r="CA185" i="176"/>
  <c r="BY185" i="176"/>
  <c r="BX185" i="176"/>
  <c r="BW185" i="176"/>
  <c r="BV185" i="176"/>
  <c r="BT185" i="176"/>
  <c r="BS185" i="176"/>
  <c r="AV185" i="176"/>
  <c r="Y185" i="176"/>
  <c r="ED184" i="176"/>
  <c r="EC184" i="176"/>
  <c r="EB184" i="176"/>
  <c r="EA184" i="176"/>
  <c r="DZ184" i="176"/>
  <c r="DY184" i="176"/>
  <c r="DX184" i="176"/>
  <c r="DW184" i="176"/>
  <c r="DV184" i="176"/>
  <c r="DT184" i="176"/>
  <c r="DS184" i="176"/>
  <c r="DQ184" i="176"/>
  <c r="DO184" i="176"/>
  <c r="DN184" i="176"/>
  <c r="CT184" i="176"/>
  <c r="CN184" i="176" s="1"/>
  <c r="H184" i="176" s="1"/>
  <c r="CL184" i="176"/>
  <c r="CI184" i="176"/>
  <c r="CH184" i="176"/>
  <c r="CG184" i="176"/>
  <c r="CF184" i="176"/>
  <c r="CE184" i="176"/>
  <c r="CD184" i="176"/>
  <c r="CC184" i="176"/>
  <c r="CB184" i="176"/>
  <c r="CA184" i="176"/>
  <c r="BY184" i="176"/>
  <c r="BW184" i="176"/>
  <c r="BV184" i="176"/>
  <c r="BT184" i="176"/>
  <c r="BS184" i="176"/>
  <c r="BB184" i="176"/>
  <c r="Y184" i="176"/>
  <c r="ED183" i="176"/>
  <c r="EC183" i="176"/>
  <c r="EB183" i="176"/>
  <c r="EA183" i="176"/>
  <c r="DZ183" i="176"/>
  <c r="DY183" i="176"/>
  <c r="DX183" i="176"/>
  <c r="DW183" i="176"/>
  <c r="DV183" i="176"/>
  <c r="DT183" i="176"/>
  <c r="DS183" i="176"/>
  <c r="DQ183" i="176"/>
  <c r="DP183" i="176"/>
  <c r="DO183" i="176"/>
  <c r="CN183" i="176"/>
  <c r="H183" i="176" s="1"/>
  <c r="CL183" i="176"/>
  <c r="CI183" i="176"/>
  <c r="CH183" i="176"/>
  <c r="CG183" i="176"/>
  <c r="CF183" i="176"/>
  <c r="CE183" i="176"/>
  <c r="CD183" i="176"/>
  <c r="CC183" i="176"/>
  <c r="CB183" i="176"/>
  <c r="CA183" i="176"/>
  <c r="BY183" i="176"/>
  <c r="BX183" i="176"/>
  <c r="BW183" i="176"/>
  <c r="BT183" i="176"/>
  <c r="BS183" i="176"/>
  <c r="AV183" i="176"/>
  <c r="AC183" i="176"/>
  <c r="DN183" i="176" s="1"/>
  <c r="ED182" i="176"/>
  <c r="EC182" i="176"/>
  <c r="EB182" i="176"/>
  <c r="EA182" i="176"/>
  <c r="DZ182" i="176"/>
  <c r="DY182" i="176"/>
  <c r="DX182" i="176"/>
  <c r="DW182" i="176"/>
  <c r="DV182" i="176"/>
  <c r="DT182" i="176"/>
  <c r="DS182" i="176"/>
  <c r="DQ182" i="176"/>
  <c r="DP182" i="176"/>
  <c r="DO182" i="176"/>
  <c r="DN182" i="176"/>
  <c r="CT182" i="176"/>
  <c r="CN182" i="176"/>
  <c r="CL182" i="176"/>
  <c r="CI182" i="176"/>
  <c r="CH182" i="176"/>
  <c r="CG182" i="176"/>
  <c r="CF182" i="176"/>
  <c r="CE182" i="176"/>
  <c r="CD182" i="176"/>
  <c r="CC182" i="176"/>
  <c r="CB182" i="176"/>
  <c r="CA182" i="176"/>
  <c r="BY182" i="176"/>
  <c r="BW182" i="176"/>
  <c r="BV182" i="176"/>
  <c r="BT182" i="176"/>
  <c r="BS182" i="176"/>
  <c r="BB182" i="176"/>
  <c r="AV182" i="176" s="1"/>
  <c r="Y182" i="176"/>
  <c r="ED181" i="176"/>
  <c r="EC181" i="176"/>
  <c r="EB181" i="176"/>
  <c r="EA181" i="176"/>
  <c r="DZ181" i="176"/>
  <c r="DY181" i="176"/>
  <c r="DX181" i="176"/>
  <c r="DW181" i="176"/>
  <c r="DV181" i="176"/>
  <c r="DT181" i="176"/>
  <c r="DS181" i="176"/>
  <c r="DQ181" i="176"/>
  <c r="DP181" i="176"/>
  <c r="DO181" i="176"/>
  <c r="CN181" i="176"/>
  <c r="CL181" i="176"/>
  <c r="CK181" i="176"/>
  <c r="CI181" i="176"/>
  <c r="CH181" i="176"/>
  <c r="CG181" i="176"/>
  <c r="CF181" i="176"/>
  <c r="CE181" i="176"/>
  <c r="CD181" i="176"/>
  <c r="CC181" i="176"/>
  <c r="CB181" i="176"/>
  <c r="CA181" i="176"/>
  <c r="BY181" i="176"/>
  <c r="BX181" i="176"/>
  <c r="BW181" i="176"/>
  <c r="BT181" i="176"/>
  <c r="BS181" i="176"/>
  <c r="AV181" i="176"/>
  <c r="AC181" i="176"/>
  <c r="H181" i="176"/>
  <c r="ED180" i="176"/>
  <c r="EC180" i="176"/>
  <c r="EB180" i="176"/>
  <c r="EA180" i="176"/>
  <c r="DZ180" i="176"/>
  <c r="DY180" i="176"/>
  <c r="DX180" i="176"/>
  <c r="DW180" i="176"/>
  <c r="DV180" i="176"/>
  <c r="DT180" i="176"/>
  <c r="DS180" i="176"/>
  <c r="DQ180" i="176"/>
  <c r="DP180" i="176"/>
  <c r="DO180" i="176"/>
  <c r="DN180" i="176"/>
  <c r="CN180" i="176"/>
  <c r="CL180" i="176"/>
  <c r="CK180" i="176"/>
  <c r="CI180" i="176"/>
  <c r="CH180" i="176"/>
  <c r="CG180" i="176"/>
  <c r="CF180" i="176"/>
  <c r="CE180" i="176"/>
  <c r="CD180" i="176"/>
  <c r="CC180" i="176"/>
  <c r="CB180" i="176"/>
  <c r="CA180" i="176"/>
  <c r="BY180" i="176"/>
  <c r="BX180" i="176"/>
  <c r="BW180" i="176"/>
  <c r="BV180" i="176"/>
  <c r="BT180" i="176"/>
  <c r="BS180" i="176"/>
  <c r="AV180" i="176"/>
  <c r="AC180" i="176"/>
  <c r="Y180" i="176"/>
  <c r="ED179" i="176"/>
  <c r="EC179" i="176"/>
  <c r="EB179" i="176"/>
  <c r="EA179" i="176"/>
  <c r="DZ179" i="176"/>
  <c r="DY179" i="176"/>
  <c r="DX179" i="176"/>
  <c r="DW179" i="176"/>
  <c r="DV179" i="176"/>
  <c r="DT179" i="176"/>
  <c r="DS179" i="176"/>
  <c r="DQ179" i="176"/>
  <c r="DP179" i="176"/>
  <c r="DO179" i="176"/>
  <c r="CN179" i="176"/>
  <c r="CL179" i="176"/>
  <c r="CK179" i="176"/>
  <c r="CI179" i="176"/>
  <c r="CH179" i="176"/>
  <c r="CG179" i="176"/>
  <c r="CF179" i="176"/>
  <c r="CE179" i="176"/>
  <c r="CD179" i="176"/>
  <c r="CC179" i="176"/>
  <c r="CB179" i="176"/>
  <c r="CA179" i="176"/>
  <c r="BY179" i="176"/>
  <c r="BX179" i="176"/>
  <c r="BW179" i="176"/>
  <c r="BT179" i="176"/>
  <c r="BS179" i="176"/>
  <c r="AV179" i="176"/>
  <c r="AC179" i="176"/>
  <c r="ED178" i="176"/>
  <c r="EC178" i="176"/>
  <c r="EB178" i="176"/>
  <c r="EA178" i="176"/>
  <c r="DZ178" i="176"/>
  <c r="DY178" i="176"/>
  <c r="DX178" i="176"/>
  <c r="DW178" i="176"/>
  <c r="DV178" i="176"/>
  <c r="DT178" i="176"/>
  <c r="DS178" i="176"/>
  <c r="DQ178" i="176"/>
  <c r="DP178" i="176"/>
  <c r="DO178" i="176"/>
  <c r="DN178" i="176"/>
  <c r="DJ178" i="176" s="1"/>
  <c r="CN178" i="176"/>
  <c r="CL178" i="176"/>
  <c r="CK178" i="176"/>
  <c r="CI178" i="176"/>
  <c r="CH178" i="176"/>
  <c r="CG178" i="176"/>
  <c r="CF178" i="176"/>
  <c r="CE178" i="176"/>
  <c r="CD178" i="176"/>
  <c r="CC178" i="176"/>
  <c r="CB178" i="176"/>
  <c r="CA178" i="176"/>
  <c r="BY178" i="176"/>
  <c r="BX178" i="176"/>
  <c r="BW178" i="176"/>
  <c r="BV178" i="176"/>
  <c r="BT178" i="176"/>
  <c r="BS178" i="176"/>
  <c r="AV178" i="176"/>
  <c r="Y178" i="176"/>
  <c r="H178" i="176"/>
  <c r="I178" i="176" s="1"/>
  <c r="ED177" i="176"/>
  <c r="EC177" i="176"/>
  <c r="EB177" i="176"/>
  <c r="EA177" i="176"/>
  <c r="DY177" i="176"/>
  <c r="DX177" i="176"/>
  <c r="DW177" i="176"/>
  <c r="DV177" i="176"/>
  <c r="DT177" i="176"/>
  <c r="DS177" i="176"/>
  <c r="DQ177" i="176"/>
  <c r="DO177" i="176"/>
  <c r="DD177" i="176"/>
  <c r="DZ177" i="176" s="1"/>
  <c r="CN177" i="176"/>
  <c r="H177" i="176" s="1"/>
  <c r="CL177" i="176"/>
  <c r="CK177" i="176"/>
  <c r="CI177" i="176"/>
  <c r="CG177" i="176"/>
  <c r="CF177" i="176"/>
  <c r="CE177" i="176"/>
  <c r="CD177" i="176"/>
  <c r="CC177" i="176"/>
  <c r="CB177" i="176"/>
  <c r="CA177" i="176"/>
  <c r="BY177" i="176"/>
  <c r="BW177" i="176"/>
  <c r="BT177" i="176"/>
  <c r="BS177" i="176"/>
  <c r="BL177" i="176"/>
  <c r="AE177" i="176"/>
  <c r="AC177" i="176"/>
  <c r="ED176" i="176"/>
  <c r="EC176" i="176"/>
  <c r="EB176" i="176"/>
  <c r="EA176" i="176"/>
  <c r="DZ176" i="176"/>
  <c r="DY176" i="176"/>
  <c r="DX176" i="176"/>
  <c r="DW176" i="176"/>
  <c r="DV176" i="176"/>
  <c r="DT176" i="176"/>
  <c r="DS176" i="176"/>
  <c r="DQ176" i="176"/>
  <c r="DO176" i="176"/>
  <c r="DN176" i="176"/>
  <c r="DL176" i="176"/>
  <c r="CT176" i="176"/>
  <c r="CN176" i="176" s="1"/>
  <c r="CL176" i="176"/>
  <c r="CK176" i="176"/>
  <c r="CI176" i="176"/>
  <c r="CG176" i="176"/>
  <c r="CF176" i="176"/>
  <c r="CE176" i="176"/>
  <c r="CD176" i="176"/>
  <c r="CC176" i="176"/>
  <c r="CB176" i="176"/>
  <c r="CA176" i="176"/>
  <c r="BY176" i="176"/>
  <c r="BW176" i="176"/>
  <c r="BV176" i="176"/>
  <c r="BT176" i="176"/>
  <c r="BS176" i="176"/>
  <c r="BL176" i="176"/>
  <c r="CH176" i="176" s="1"/>
  <c r="BB176" i="176"/>
  <c r="AE176" i="176"/>
  <c r="Y176" i="176" s="1"/>
  <c r="DN175" i="176"/>
  <c r="DJ175" i="176" s="1"/>
  <c r="CN175" i="176"/>
  <c r="CM175" i="176" s="1"/>
  <c r="BR175" i="176"/>
  <c r="AV175" i="176"/>
  <c r="AC175" i="176"/>
  <c r="BV175" i="176" s="1"/>
  <c r="Y175" i="176"/>
  <c r="CN174" i="176"/>
  <c r="H174" i="176" s="1"/>
  <c r="BV174" i="176"/>
  <c r="BR174" i="176" s="1"/>
  <c r="AV174" i="176"/>
  <c r="AC174" i="176"/>
  <c r="DN173" i="176"/>
  <c r="DJ173" i="176" s="1"/>
  <c r="CN173" i="176"/>
  <c r="H173" i="176" s="1"/>
  <c r="AV173" i="176"/>
  <c r="AC173" i="176"/>
  <c r="BV173" i="176" s="1"/>
  <c r="BR173" i="176" s="1"/>
  <c r="ED172" i="176"/>
  <c r="EC172" i="176"/>
  <c r="EB172" i="176"/>
  <c r="EA172" i="176"/>
  <c r="DZ172" i="176"/>
  <c r="DY172" i="176"/>
  <c r="DX172" i="176"/>
  <c r="DW172" i="176"/>
  <c r="DV172" i="176"/>
  <c r="DT172" i="176"/>
  <c r="DS172" i="176"/>
  <c r="DQ172" i="176"/>
  <c r="DP172" i="176"/>
  <c r="DO172" i="176"/>
  <c r="DN172" i="176"/>
  <c r="CN172" i="176"/>
  <c r="CL172" i="176"/>
  <c r="CI172" i="176"/>
  <c r="CH172" i="176"/>
  <c r="CG172" i="176"/>
  <c r="CF172" i="176"/>
  <c r="CE172" i="176"/>
  <c r="CD172" i="176"/>
  <c r="CC172" i="176"/>
  <c r="CB172" i="176"/>
  <c r="CA172" i="176"/>
  <c r="BY172" i="176"/>
  <c r="BX172" i="176"/>
  <c r="BW172" i="176"/>
  <c r="BV172" i="176"/>
  <c r="BT172" i="176"/>
  <c r="BS172" i="176"/>
  <c r="BO172" i="176"/>
  <c r="AV172" i="176" s="1"/>
  <c r="Y172" i="176"/>
  <c r="EC171" i="176"/>
  <c r="EB171" i="176"/>
  <c r="EA171" i="176"/>
  <c r="DZ171" i="176"/>
  <c r="DY171" i="176"/>
  <c r="DX171" i="176"/>
  <c r="DW171" i="176"/>
  <c r="DV171" i="176"/>
  <c r="DT171" i="176"/>
  <c r="DS171" i="176"/>
  <c r="DQ171" i="176"/>
  <c r="DP171" i="176"/>
  <c r="DO171" i="176"/>
  <c r="DN171" i="176"/>
  <c r="DH171" i="176"/>
  <c r="CN171" i="176" s="1"/>
  <c r="CK171" i="176"/>
  <c r="CI171" i="176"/>
  <c r="CH171" i="176"/>
  <c r="CG171" i="176"/>
  <c r="CF171" i="176"/>
  <c r="CE171" i="176"/>
  <c r="CD171" i="176"/>
  <c r="CC171" i="176"/>
  <c r="CB171" i="176"/>
  <c r="CA171" i="176"/>
  <c r="BY171" i="176"/>
  <c r="BX171" i="176"/>
  <c r="BW171" i="176"/>
  <c r="BV171" i="176"/>
  <c r="BT171" i="176"/>
  <c r="BS171" i="176"/>
  <c r="BP171" i="176"/>
  <c r="AS171" i="176"/>
  <c r="EC170" i="176"/>
  <c r="EB170" i="176"/>
  <c r="EA170" i="176"/>
  <c r="DZ170" i="176"/>
  <c r="DY170" i="176"/>
  <c r="DX170" i="176"/>
  <c r="DW170" i="176"/>
  <c r="DV170" i="176"/>
  <c r="DT170" i="176"/>
  <c r="DS170" i="176"/>
  <c r="DQ170" i="176"/>
  <c r="DP170" i="176"/>
  <c r="DO170" i="176"/>
  <c r="CN170" i="176"/>
  <c r="H170" i="176" s="1"/>
  <c r="CK170" i="176"/>
  <c r="CI170" i="176"/>
  <c r="CH170" i="176"/>
  <c r="CG170" i="176"/>
  <c r="CF170" i="176"/>
  <c r="CE170" i="176"/>
  <c r="CD170" i="176"/>
  <c r="CC170" i="176"/>
  <c r="CB170" i="176"/>
  <c r="CA170" i="176"/>
  <c r="BX170" i="176"/>
  <c r="BW170" i="176"/>
  <c r="BT170" i="176"/>
  <c r="BS170" i="176"/>
  <c r="BP170" i="176"/>
  <c r="AV170" i="176"/>
  <c r="AS170" i="176"/>
  <c r="AF170" i="176"/>
  <c r="BY170" i="176" s="1"/>
  <c r="AC170" i="176"/>
  <c r="Y170" i="176"/>
  <c r="ED169" i="176"/>
  <c r="EC169" i="176"/>
  <c r="EB169" i="176"/>
  <c r="EA169" i="176"/>
  <c r="DY169" i="176"/>
  <c r="DX169" i="176"/>
  <c r="DW169" i="176"/>
  <c r="DV169" i="176"/>
  <c r="DT169" i="176"/>
  <c r="DS169" i="176"/>
  <c r="DQ169" i="176"/>
  <c r="DO169" i="176"/>
  <c r="DD169" i="176"/>
  <c r="DZ169" i="176" s="1"/>
  <c r="CT169" i="176"/>
  <c r="CR169" i="176"/>
  <c r="DN169" i="176" s="1"/>
  <c r="CL169" i="176"/>
  <c r="CK169" i="176"/>
  <c r="CI169" i="176"/>
  <c r="CG169" i="176"/>
  <c r="CF169" i="176"/>
  <c r="CE169" i="176"/>
  <c r="CD169" i="176"/>
  <c r="CC169" i="176"/>
  <c r="CB169" i="176"/>
  <c r="CA169" i="176"/>
  <c r="BY169" i="176"/>
  <c r="BW169" i="176"/>
  <c r="BT169" i="176"/>
  <c r="BS169" i="176"/>
  <c r="BL169" i="176"/>
  <c r="CH169" i="176" s="1"/>
  <c r="BB169" i="176"/>
  <c r="AZ169" i="176"/>
  <c r="BV169" i="176" s="1"/>
  <c r="Y169" i="176"/>
  <c r="EC168" i="176"/>
  <c r="EB168" i="176"/>
  <c r="EA168" i="176"/>
  <c r="DZ168" i="176"/>
  <c r="DY168" i="176"/>
  <c r="DX168" i="176"/>
  <c r="DW168" i="176"/>
  <c r="DV168" i="176"/>
  <c r="DT168" i="176"/>
  <c r="DS168" i="176"/>
  <c r="DQ168" i="176"/>
  <c r="DP168" i="176"/>
  <c r="DO168" i="176"/>
  <c r="DN168" i="176"/>
  <c r="DH168" i="176"/>
  <c r="CN168" i="176" s="1"/>
  <c r="H168" i="176" s="1"/>
  <c r="CK168" i="176"/>
  <c r="CI168" i="176"/>
  <c r="CH168" i="176"/>
  <c r="CG168" i="176"/>
  <c r="CF168" i="176"/>
  <c r="CE168" i="176"/>
  <c r="CD168" i="176"/>
  <c r="CC168" i="176"/>
  <c r="CB168" i="176"/>
  <c r="CA168" i="176"/>
  <c r="BY168" i="176"/>
  <c r="BX168" i="176"/>
  <c r="BW168" i="176"/>
  <c r="BV168" i="176"/>
  <c r="BT168" i="176"/>
  <c r="BS168" i="176"/>
  <c r="BP168" i="176"/>
  <c r="AV168" i="176" s="1"/>
  <c r="AS168" i="176"/>
  <c r="EC167" i="176"/>
  <c r="EB167" i="176"/>
  <c r="EA167" i="176"/>
  <c r="DZ167" i="176"/>
  <c r="DY167" i="176"/>
  <c r="DX167" i="176"/>
  <c r="DW167" i="176"/>
  <c r="DV167" i="176"/>
  <c r="DT167" i="176"/>
  <c r="DS167" i="176"/>
  <c r="DP167" i="176"/>
  <c r="DO167" i="176"/>
  <c r="DH167" i="176"/>
  <c r="CN167" i="176" s="1"/>
  <c r="CR167" i="176"/>
  <c r="CK167" i="176"/>
  <c r="CI167" i="176"/>
  <c r="CH167" i="176"/>
  <c r="CG167" i="176"/>
  <c r="CF167" i="176"/>
  <c r="CE167" i="176"/>
  <c r="CD167" i="176"/>
  <c r="CC167" i="176"/>
  <c r="CB167" i="176"/>
  <c r="CA167" i="176"/>
  <c r="BX167" i="176"/>
  <c r="BW167" i="176"/>
  <c r="BT167" i="176"/>
  <c r="BS167" i="176"/>
  <c r="BP167" i="176"/>
  <c r="AZ167" i="176"/>
  <c r="AS167" i="176"/>
  <c r="AF167" i="176"/>
  <c r="DQ167" i="176" s="1"/>
  <c r="AC167" i="176"/>
  <c r="ED166" i="176"/>
  <c r="EC166" i="176"/>
  <c r="EB166" i="176"/>
  <c r="EA166" i="176"/>
  <c r="DZ166" i="176"/>
  <c r="DY166" i="176"/>
  <c r="DX166" i="176"/>
  <c r="DW166" i="176"/>
  <c r="DV166" i="176"/>
  <c r="DT166" i="176"/>
  <c r="DS166" i="176"/>
  <c r="DQ166" i="176"/>
  <c r="DP166" i="176"/>
  <c r="DO166" i="176"/>
  <c r="CR166" i="176"/>
  <c r="CN166" i="176"/>
  <c r="H166" i="176" s="1"/>
  <c r="CL166" i="176"/>
  <c r="CK166" i="176"/>
  <c r="CI166" i="176"/>
  <c r="CH166" i="176"/>
  <c r="CG166" i="176"/>
  <c r="CF166" i="176"/>
  <c r="CE166" i="176"/>
  <c r="CD166" i="176"/>
  <c r="CC166" i="176"/>
  <c r="CB166" i="176"/>
  <c r="CA166" i="176"/>
  <c r="BY166" i="176"/>
  <c r="BX166" i="176"/>
  <c r="BW166" i="176"/>
  <c r="BT166" i="176"/>
  <c r="BS166" i="176"/>
  <c r="AZ166" i="176"/>
  <c r="AV166" i="176" s="1"/>
  <c r="AF166" i="176"/>
  <c r="AC166" i="176"/>
  <c r="DN166" i="176" s="1"/>
  <c r="Y166" i="176"/>
  <c r="I166" i="176" s="1"/>
  <c r="ED165" i="176"/>
  <c r="EC165" i="176"/>
  <c r="EB165" i="176"/>
  <c r="EA165" i="176"/>
  <c r="DZ165" i="176"/>
  <c r="DY165" i="176"/>
  <c r="DX165" i="176"/>
  <c r="DW165" i="176"/>
  <c r="DV165" i="176"/>
  <c r="DT165" i="176"/>
  <c r="DS165" i="176"/>
  <c r="DP165" i="176"/>
  <c r="DO165" i="176"/>
  <c r="DM165" i="176"/>
  <c r="CL165" i="176"/>
  <c r="CK165" i="176"/>
  <c r="CI165" i="176"/>
  <c r="CH165" i="176"/>
  <c r="CG165" i="176"/>
  <c r="CF165" i="176"/>
  <c r="CE165" i="176"/>
  <c r="CD165" i="176"/>
  <c r="CC165" i="176"/>
  <c r="CB165" i="176"/>
  <c r="CA165" i="176"/>
  <c r="BX165" i="176"/>
  <c r="BW165" i="176"/>
  <c r="BV165" i="176"/>
  <c r="BS165" i="176"/>
  <c r="AV165" i="176"/>
  <c r="AF165" i="176"/>
  <c r="AC165" i="176"/>
  <c r="DN165" i="176" s="1"/>
  <c r="AA165" i="176"/>
  <c r="H165" i="176"/>
  <c r="EC164" i="176"/>
  <c r="EB164" i="176"/>
  <c r="EA164" i="176"/>
  <c r="DZ164" i="176"/>
  <c r="DY164" i="176"/>
  <c r="DX164" i="176"/>
  <c r="DW164" i="176"/>
  <c r="DV164" i="176"/>
  <c r="DT164" i="176"/>
  <c r="DS164" i="176"/>
  <c r="DQ164" i="176"/>
  <c r="DP164" i="176"/>
  <c r="DO164" i="176"/>
  <c r="DN164" i="176"/>
  <c r="DH164" i="176"/>
  <c r="CN164" i="176"/>
  <c r="CK164" i="176"/>
  <c r="CI164" i="176"/>
  <c r="CH164" i="176"/>
  <c r="CG164" i="176"/>
  <c r="CF164" i="176"/>
  <c r="CE164" i="176"/>
  <c r="CD164" i="176"/>
  <c r="CC164" i="176"/>
  <c r="CB164" i="176"/>
  <c r="CA164" i="176"/>
  <c r="BY164" i="176"/>
  <c r="BX164" i="176"/>
  <c r="BW164" i="176"/>
  <c r="BV164" i="176"/>
  <c r="BT164" i="176"/>
  <c r="BS164" i="176"/>
  <c r="BP164" i="176"/>
  <c r="AV164" i="176"/>
  <c r="AS164" i="176"/>
  <c r="EC163" i="176"/>
  <c r="EB163" i="176"/>
  <c r="EA163" i="176"/>
  <c r="DZ163" i="176"/>
  <c r="DY163" i="176"/>
  <c r="DX163" i="176"/>
  <c r="DW163" i="176"/>
  <c r="DV163" i="176"/>
  <c r="DT163" i="176"/>
  <c r="DS163" i="176"/>
  <c r="DQ163" i="176"/>
  <c r="DP163" i="176"/>
  <c r="DO163" i="176"/>
  <c r="DN163" i="176"/>
  <c r="DH163" i="176"/>
  <c r="CR163" i="176"/>
  <c r="CK163" i="176"/>
  <c r="CI163" i="176"/>
  <c r="CH163" i="176"/>
  <c r="CG163" i="176"/>
  <c r="CF163" i="176"/>
  <c r="CE163" i="176"/>
  <c r="CD163" i="176"/>
  <c r="CC163" i="176"/>
  <c r="CB163" i="176"/>
  <c r="CA163" i="176"/>
  <c r="BY163" i="176"/>
  <c r="BX163" i="176"/>
  <c r="BW163" i="176"/>
  <c r="BT163" i="176"/>
  <c r="BS163" i="176"/>
  <c r="BP163" i="176"/>
  <c r="AZ163" i="176"/>
  <c r="AS163" i="176"/>
  <c r="ED162" i="176"/>
  <c r="EC162" i="176"/>
  <c r="EB162" i="176"/>
  <c r="EA162" i="176"/>
  <c r="DZ162" i="176"/>
  <c r="DY162" i="176"/>
  <c r="DX162" i="176"/>
  <c r="DW162" i="176"/>
  <c r="DV162" i="176"/>
  <c r="DT162" i="176"/>
  <c r="DS162" i="176"/>
  <c r="DP162" i="176"/>
  <c r="DO162" i="176"/>
  <c r="DM162" i="176"/>
  <c r="CN162" i="176"/>
  <c r="CL162" i="176"/>
  <c r="CK162" i="176"/>
  <c r="CJ162" i="176"/>
  <c r="CJ199" i="176" s="1"/>
  <c r="CI162" i="176"/>
  <c r="CH162" i="176"/>
  <c r="CG162" i="176"/>
  <c r="CF162" i="176"/>
  <c r="CE162" i="176"/>
  <c r="CD162" i="176"/>
  <c r="CC162" i="176"/>
  <c r="CB162" i="176"/>
  <c r="CA162" i="176"/>
  <c r="BY162" i="176"/>
  <c r="BX162" i="176"/>
  <c r="BW162" i="176"/>
  <c r="BS162" i="176"/>
  <c r="AV162" i="176"/>
  <c r="AF162" i="176"/>
  <c r="DQ162" i="176" s="1"/>
  <c r="AC162" i="176"/>
  <c r="DN162" i="176" s="1"/>
  <c r="AA162" i="176"/>
  <c r="BT162" i="176" s="1"/>
  <c r="Y162" i="176"/>
  <c r="H162" i="176"/>
  <c r="ED161" i="176"/>
  <c r="EC161" i="176"/>
  <c r="EB161" i="176"/>
  <c r="EA161" i="176"/>
  <c r="DZ161" i="176"/>
  <c r="DY161" i="176"/>
  <c r="DX161" i="176"/>
  <c r="DW161" i="176"/>
  <c r="DV161" i="176"/>
  <c r="DT161" i="176"/>
  <c r="DS161" i="176"/>
  <c r="DP161" i="176"/>
  <c r="DO161" i="176"/>
  <c r="CR161" i="176"/>
  <c r="CN161" i="176" s="1"/>
  <c r="H161" i="176" s="1"/>
  <c r="CL161" i="176"/>
  <c r="CK161" i="176"/>
  <c r="CI161" i="176"/>
  <c r="CH161" i="176"/>
  <c r="CG161" i="176"/>
  <c r="CF161" i="176"/>
  <c r="CE161" i="176"/>
  <c r="CD161" i="176"/>
  <c r="CC161" i="176"/>
  <c r="CB161" i="176"/>
  <c r="CA161" i="176"/>
  <c r="BX161" i="176"/>
  <c r="BW161" i="176"/>
  <c r="BT161" i="176"/>
  <c r="BS161" i="176"/>
  <c r="AZ161" i="176"/>
  <c r="AV161" i="176"/>
  <c r="AF161" i="176"/>
  <c r="AC161" i="176"/>
  <c r="ED160" i="176"/>
  <c r="EC160" i="176"/>
  <c r="EB160" i="176"/>
  <c r="EA160" i="176"/>
  <c r="DZ160" i="176"/>
  <c r="DY160" i="176"/>
  <c r="DX160" i="176"/>
  <c r="DW160" i="176"/>
  <c r="DT160" i="176"/>
  <c r="DS160" i="176"/>
  <c r="DQ160" i="176"/>
  <c r="DP160" i="176"/>
  <c r="DO160" i="176"/>
  <c r="DN160" i="176"/>
  <c r="CZ160" i="176"/>
  <c r="CN160" i="176" s="1"/>
  <c r="CL160" i="176"/>
  <c r="CK160" i="176"/>
  <c r="CI160" i="176"/>
  <c r="CH160" i="176"/>
  <c r="CG160" i="176"/>
  <c r="CF160" i="176"/>
  <c r="CE160" i="176"/>
  <c r="CD160" i="176"/>
  <c r="CC160" i="176"/>
  <c r="CB160" i="176"/>
  <c r="CA160" i="176"/>
  <c r="BY160" i="176"/>
  <c r="BX160" i="176"/>
  <c r="BW160" i="176"/>
  <c r="BT160" i="176"/>
  <c r="BS160" i="176"/>
  <c r="BH160" i="176"/>
  <c r="AV160" i="176"/>
  <c r="AC160" i="176"/>
  <c r="BV160" i="176" s="1"/>
  <c r="Y160" i="176"/>
  <c r="AU160" i="176" s="1"/>
  <c r="BQ160" i="176" s="1"/>
  <c r="EC159" i="176"/>
  <c r="EB159" i="176"/>
  <c r="EA159" i="176"/>
  <c r="DZ159" i="176"/>
  <c r="DY159" i="176"/>
  <c r="DX159" i="176"/>
  <c r="DW159" i="176"/>
  <c r="DV159" i="176"/>
  <c r="DT159" i="176"/>
  <c r="DS159" i="176"/>
  <c r="DQ159" i="176"/>
  <c r="DP159" i="176"/>
  <c r="DO159" i="176"/>
  <c r="DN159" i="176"/>
  <c r="CN159" i="176"/>
  <c r="H159" i="176" s="1"/>
  <c r="CK159" i="176"/>
  <c r="CI159" i="176"/>
  <c r="CH159" i="176"/>
  <c r="CG159" i="176"/>
  <c r="CF159" i="176"/>
  <c r="CE159" i="176"/>
  <c r="CD159" i="176"/>
  <c r="CC159" i="176"/>
  <c r="CB159" i="176"/>
  <c r="CA159" i="176"/>
  <c r="BY159" i="176"/>
  <c r="BX159" i="176"/>
  <c r="BW159" i="176"/>
  <c r="BV159" i="176"/>
  <c r="BT159" i="176"/>
  <c r="BS159" i="176"/>
  <c r="BP159" i="176"/>
  <c r="AV159" i="176"/>
  <c r="AS159" i="176"/>
  <c r="Y159" i="176" s="1"/>
  <c r="I159" i="176" s="1"/>
  <c r="ED158" i="176"/>
  <c r="EC158" i="176"/>
  <c r="EB158" i="176"/>
  <c r="EA158" i="176"/>
  <c r="DZ158" i="176"/>
  <c r="DY158" i="176"/>
  <c r="DX158" i="176"/>
  <c r="DW158" i="176"/>
  <c r="DV158" i="176"/>
  <c r="DT158" i="176"/>
  <c r="DS158" i="176"/>
  <c r="DQ158" i="176"/>
  <c r="DP158" i="176"/>
  <c r="DO158" i="176"/>
  <c r="CR158" i="176"/>
  <c r="CN158" i="176" s="1"/>
  <c r="CL158" i="176"/>
  <c r="CK158" i="176"/>
  <c r="CI158" i="176"/>
  <c r="CH158" i="176"/>
  <c r="CG158" i="176"/>
  <c r="CF158" i="176"/>
  <c r="CE158" i="176"/>
  <c r="CD158" i="176"/>
  <c r="CC158" i="176"/>
  <c r="CB158" i="176"/>
  <c r="CA158" i="176"/>
  <c r="BY158" i="176"/>
  <c r="BX158" i="176"/>
  <c r="BW158" i="176"/>
  <c r="BT158" i="176"/>
  <c r="BS158" i="176"/>
  <c r="AZ158" i="176"/>
  <c r="AV158" i="176"/>
  <c r="AC158" i="176"/>
  <c r="BV158" i="176" s="1"/>
  <c r="ED157" i="176"/>
  <c r="EC157" i="176"/>
  <c r="EB157" i="176"/>
  <c r="EA157" i="176"/>
  <c r="DZ157" i="176"/>
  <c r="DX157" i="176"/>
  <c r="DW157" i="176"/>
  <c r="DV157" i="176"/>
  <c r="DT157" i="176"/>
  <c r="DS157" i="176"/>
  <c r="DQ157" i="176"/>
  <c r="DP157" i="176"/>
  <c r="DO157" i="176"/>
  <c r="DC157" i="176"/>
  <c r="DC199" i="176" s="1"/>
  <c r="CR157" i="176"/>
  <c r="CN157" i="176" s="1"/>
  <c r="CL157" i="176"/>
  <c r="CK157" i="176"/>
  <c r="CI157" i="176"/>
  <c r="CH157" i="176"/>
  <c r="CF157" i="176"/>
  <c r="CE157" i="176"/>
  <c r="CD157" i="176"/>
  <c r="CC157" i="176"/>
  <c r="CB157" i="176"/>
  <c r="CA157" i="176"/>
  <c r="BY157" i="176"/>
  <c r="BX157" i="176"/>
  <c r="BW157" i="176"/>
  <c r="BT157" i="176"/>
  <c r="BS157" i="176"/>
  <c r="BK157" i="176"/>
  <c r="AZ157" i="176"/>
  <c r="AV157" i="176" s="1"/>
  <c r="AN157" i="176"/>
  <c r="AC157" i="176"/>
  <c r="ED156" i="176"/>
  <c r="EC156" i="176"/>
  <c r="EB156" i="176"/>
  <c r="EA156" i="176"/>
  <c r="DZ156" i="176"/>
  <c r="DY156" i="176"/>
  <c r="DX156" i="176"/>
  <c r="DW156" i="176"/>
  <c r="DV156" i="176"/>
  <c r="DT156" i="176"/>
  <c r="DS156" i="176"/>
  <c r="DQ156" i="176"/>
  <c r="DP156" i="176"/>
  <c r="DN156" i="176"/>
  <c r="CR156" i="176"/>
  <c r="CN156" i="176" s="1"/>
  <c r="H156" i="176" s="1"/>
  <c r="CL156" i="176"/>
  <c r="CK156" i="176"/>
  <c r="CI156" i="176"/>
  <c r="CH156" i="176"/>
  <c r="CG156" i="176"/>
  <c r="CF156" i="176"/>
  <c r="CE156" i="176"/>
  <c r="CD156" i="176"/>
  <c r="CC156" i="176"/>
  <c r="CB156" i="176"/>
  <c r="CA156" i="176"/>
  <c r="BY156" i="176"/>
  <c r="BX156" i="176"/>
  <c r="BT156" i="176"/>
  <c r="BS156" i="176"/>
  <c r="AZ156" i="176"/>
  <c r="AV156" i="176" s="1"/>
  <c r="AD156" i="176"/>
  <c r="DO156" i="176" s="1"/>
  <c r="AC156" i="176"/>
  <c r="ED155" i="176"/>
  <c r="EC155" i="176"/>
  <c r="EB155" i="176"/>
  <c r="EA155" i="176"/>
  <c r="DZ155" i="176"/>
  <c r="DY155" i="176"/>
  <c r="DX155" i="176"/>
  <c r="DW155" i="176"/>
  <c r="DV155" i="176"/>
  <c r="DT155" i="176"/>
  <c r="DS155" i="176"/>
  <c r="DQ155" i="176"/>
  <c r="DP155" i="176"/>
  <c r="DO155" i="176"/>
  <c r="CN155" i="176"/>
  <c r="CL155" i="176"/>
  <c r="CK155" i="176"/>
  <c r="CI155" i="176"/>
  <c r="CH155" i="176"/>
  <c r="CG155" i="176"/>
  <c r="CF155" i="176"/>
  <c r="CE155" i="176"/>
  <c r="CD155" i="176"/>
  <c r="CC155" i="176"/>
  <c r="CB155" i="176"/>
  <c r="CA155" i="176"/>
  <c r="BY155" i="176"/>
  <c r="BX155" i="176"/>
  <c r="BW155" i="176"/>
  <c r="BT155" i="176"/>
  <c r="BS155" i="176"/>
  <c r="AZ155" i="176"/>
  <c r="AV155" i="176" s="1"/>
  <c r="AC155" i="176"/>
  <c r="DN155" i="176" s="1"/>
  <c r="Y155" i="176"/>
  <c r="CM155" i="176" s="1"/>
  <c r="DI155" i="176" s="1"/>
  <c r="H155" i="176"/>
  <c r="ED154" i="176"/>
  <c r="EC154" i="176"/>
  <c r="EB154" i="176"/>
  <c r="EA154" i="176"/>
  <c r="DZ154" i="176"/>
  <c r="DY154" i="176"/>
  <c r="DX154" i="176"/>
  <c r="DW154" i="176"/>
  <c r="DV154" i="176"/>
  <c r="DT154" i="176"/>
  <c r="DS154" i="176"/>
  <c r="DQ154" i="176"/>
  <c r="DP154" i="176"/>
  <c r="DO154" i="176"/>
  <c r="CR154" i="176"/>
  <c r="CN154" i="176" s="1"/>
  <c r="H154" i="176" s="1"/>
  <c r="CL154" i="176"/>
  <c r="CK154" i="176"/>
  <c r="CI154" i="176"/>
  <c r="CH154" i="176"/>
  <c r="CG154" i="176"/>
  <c r="CF154" i="176"/>
  <c r="CE154" i="176"/>
  <c r="CD154" i="176"/>
  <c r="CC154" i="176"/>
  <c r="CB154" i="176"/>
  <c r="CA154" i="176"/>
  <c r="BY154" i="176"/>
  <c r="BX154" i="176"/>
  <c r="BW154" i="176"/>
  <c r="BT154" i="176"/>
  <c r="BS154" i="176"/>
  <c r="AZ154" i="176"/>
  <c r="AV154" i="176" s="1"/>
  <c r="AC154" i="176"/>
  <c r="ED153" i="176"/>
  <c r="EC153" i="176"/>
  <c r="EB153" i="176"/>
  <c r="EA153" i="176"/>
  <c r="DZ153" i="176"/>
  <c r="DY153" i="176"/>
  <c r="DX153" i="176"/>
  <c r="DW153" i="176"/>
  <c r="DV153" i="176"/>
  <c r="DT153" i="176"/>
  <c r="DS153" i="176"/>
  <c r="DQ153" i="176"/>
  <c r="DP153" i="176"/>
  <c r="DO153" i="176"/>
  <c r="CN153" i="176"/>
  <c r="H153" i="176" s="1"/>
  <c r="CL153" i="176"/>
  <c r="CK153" i="176"/>
  <c r="CI153" i="176"/>
  <c r="CH153" i="176"/>
  <c r="CG153" i="176"/>
  <c r="CF153" i="176"/>
  <c r="CE153" i="176"/>
  <c r="CD153" i="176"/>
  <c r="CC153" i="176"/>
  <c r="CB153" i="176"/>
  <c r="CA153" i="176"/>
  <c r="BY153" i="176"/>
  <c r="BX153" i="176"/>
  <c r="BW153" i="176"/>
  <c r="BT153" i="176"/>
  <c r="BS153" i="176"/>
  <c r="AV153" i="176"/>
  <c r="AC153" i="176"/>
  <c r="ED152" i="176"/>
  <c r="EB152" i="176"/>
  <c r="EA152" i="176"/>
  <c r="DZ152" i="176"/>
  <c r="DY152" i="176"/>
  <c r="DX152" i="176"/>
  <c r="DW152" i="176"/>
  <c r="DT152" i="176"/>
  <c r="DS152" i="176"/>
  <c r="DQ152" i="176"/>
  <c r="DP152" i="176"/>
  <c r="DO152" i="176"/>
  <c r="DN152" i="176"/>
  <c r="CZ152" i="176"/>
  <c r="CR152" i="176"/>
  <c r="CL152" i="176"/>
  <c r="CK152" i="176"/>
  <c r="CI152" i="176"/>
  <c r="CH152" i="176"/>
  <c r="CG152" i="176"/>
  <c r="CF152" i="176"/>
  <c r="CE152" i="176"/>
  <c r="CC152" i="176"/>
  <c r="CB152" i="176"/>
  <c r="CA152" i="176"/>
  <c r="BY152" i="176"/>
  <c r="BX152" i="176"/>
  <c r="BW152" i="176"/>
  <c r="BT152" i="176"/>
  <c r="BS152" i="176"/>
  <c r="BH152" i="176"/>
  <c r="AZ152" i="176"/>
  <c r="BV152" i="176" s="1"/>
  <c r="AC152" i="176"/>
  <c r="Y152" i="176"/>
  <c r="ED151" i="176"/>
  <c r="EB151" i="176"/>
  <c r="EA151" i="176"/>
  <c r="DZ151" i="176"/>
  <c r="DY151" i="176"/>
  <c r="DX151" i="176"/>
  <c r="DW151" i="176"/>
  <c r="DV151" i="176"/>
  <c r="DT151" i="176"/>
  <c r="DS151" i="176"/>
  <c r="DQ151" i="176"/>
  <c r="DP151" i="176"/>
  <c r="DO151" i="176"/>
  <c r="CR151" i="176"/>
  <c r="CN151" i="176" s="1"/>
  <c r="CL151" i="176"/>
  <c r="CK151" i="176"/>
  <c r="CI151" i="176"/>
  <c r="CH151" i="176"/>
  <c r="CG151" i="176"/>
  <c r="CF151" i="176"/>
  <c r="CE151" i="176"/>
  <c r="CD151" i="176"/>
  <c r="CC151" i="176"/>
  <c r="CB151" i="176"/>
  <c r="CA151" i="176"/>
  <c r="BY151" i="176"/>
  <c r="BX151" i="176"/>
  <c r="BW151" i="176"/>
  <c r="BT151" i="176"/>
  <c r="BS151" i="176"/>
  <c r="AV151" i="176"/>
  <c r="AC151" i="176"/>
  <c r="CN150" i="176"/>
  <c r="AV150" i="176"/>
  <c r="AC150" i="176"/>
  <c r="H150" i="176"/>
  <c r="EB149" i="176"/>
  <c r="EA149" i="176"/>
  <c r="DZ149" i="176"/>
  <c r="DY149" i="176"/>
  <c r="DX149" i="176"/>
  <c r="DW149" i="176"/>
  <c r="DV149" i="176"/>
  <c r="DT149" i="176"/>
  <c r="DS149" i="176"/>
  <c r="DQ149" i="176"/>
  <c r="DP149" i="176"/>
  <c r="DO149" i="176"/>
  <c r="DN149" i="176"/>
  <c r="DH149" i="176"/>
  <c r="CK149" i="176"/>
  <c r="CI149" i="176"/>
  <c r="CH149" i="176"/>
  <c r="CG149" i="176"/>
  <c r="CF149" i="176"/>
  <c r="CE149" i="176"/>
  <c r="CD149" i="176"/>
  <c r="CC149" i="176"/>
  <c r="CB149" i="176"/>
  <c r="CA149" i="176"/>
  <c r="BY149" i="176"/>
  <c r="BX149" i="176"/>
  <c r="BW149" i="176"/>
  <c r="BV149" i="176"/>
  <c r="BT149" i="176"/>
  <c r="BS149" i="176"/>
  <c r="BP149" i="176"/>
  <c r="AS149" i="176"/>
  <c r="ED148" i="176"/>
  <c r="EB148" i="176"/>
  <c r="EA148" i="176"/>
  <c r="DZ148" i="176"/>
  <c r="DY148" i="176"/>
  <c r="DX148" i="176"/>
  <c r="DW148" i="176"/>
  <c r="DV148" i="176"/>
  <c r="DT148" i="176"/>
  <c r="DS148" i="176"/>
  <c r="DQ148" i="176"/>
  <c r="DP148" i="176"/>
  <c r="DO148" i="176"/>
  <c r="CN148" i="176"/>
  <c r="H148" i="176" s="1"/>
  <c r="CL148" i="176"/>
  <c r="CK148" i="176"/>
  <c r="CI148" i="176"/>
  <c r="CH148" i="176"/>
  <c r="CG148" i="176"/>
  <c r="CF148" i="176"/>
  <c r="CE148" i="176"/>
  <c r="CD148" i="176"/>
  <c r="CC148" i="176"/>
  <c r="CB148" i="176"/>
  <c r="CA148" i="176"/>
  <c r="BY148" i="176"/>
  <c r="BX148" i="176"/>
  <c r="BW148" i="176"/>
  <c r="BT148" i="176"/>
  <c r="BS148" i="176"/>
  <c r="AV148" i="176"/>
  <c r="AC148" i="176"/>
  <c r="ED147" i="176"/>
  <c r="EB147" i="176"/>
  <c r="EA147" i="176"/>
  <c r="DZ147" i="176"/>
  <c r="DY147" i="176"/>
  <c r="DX147" i="176"/>
  <c r="DW147" i="176"/>
  <c r="DV147" i="176"/>
  <c r="DT147" i="176"/>
  <c r="DS147" i="176"/>
  <c r="DQ147" i="176"/>
  <c r="DP147" i="176"/>
  <c r="DO147" i="176"/>
  <c r="DN147" i="176"/>
  <c r="CR147" i="176"/>
  <c r="CN147" i="176" s="1"/>
  <c r="CL147" i="176"/>
  <c r="CK147" i="176"/>
  <c r="CI147" i="176"/>
  <c r="CH147" i="176"/>
  <c r="CG147" i="176"/>
  <c r="CF147" i="176"/>
  <c r="CE147" i="176"/>
  <c r="CD147" i="176"/>
  <c r="CC147" i="176"/>
  <c r="CB147" i="176"/>
  <c r="CA147" i="176"/>
  <c r="BY147" i="176"/>
  <c r="BX147" i="176"/>
  <c r="BW147" i="176"/>
  <c r="BT147" i="176"/>
  <c r="BS147" i="176"/>
  <c r="AZ147" i="176"/>
  <c r="AV147" i="176" s="1"/>
  <c r="AC147" i="176"/>
  <c r="BV147" i="176" s="1"/>
  <c r="ED146" i="176"/>
  <c r="EB146" i="176"/>
  <c r="EA146" i="176"/>
  <c r="DZ146" i="176"/>
  <c r="DX146" i="176"/>
  <c r="DW146" i="176"/>
  <c r="DV146" i="176"/>
  <c r="DT146" i="176"/>
  <c r="DS146" i="176"/>
  <c r="DQ146" i="176"/>
  <c r="DP146" i="176"/>
  <c r="DO146" i="176"/>
  <c r="CR146" i="176"/>
  <c r="CN146" i="176" s="1"/>
  <c r="H146" i="176" s="1"/>
  <c r="CL146" i="176"/>
  <c r="CK146" i="176"/>
  <c r="CI146" i="176"/>
  <c r="CH146" i="176"/>
  <c r="CG146" i="176"/>
  <c r="CF146" i="176"/>
  <c r="CE146" i="176"/>
  <c r="CD146" i="176"/>
  <c r="CC146" i="176"/>
  <c r="CB146" i="176"/>
  <c r="CA146" i="176"/>
  <c r="BY146" i="176"/>
  <c r="BX146" i="176"/>
  <c r="BW146" i="176"/>
  <c r="BT146" i="176"/>
  <c r="BS146" i="176"/>
  <c r="AZ146" i="176"/>
  <c r="AV146" i="176" s="1"/>
  <c r="AN146" i="176"/>
  <c r="DY146" i="176" s="1"/>
  <c r="AC146" i="176"/>
  <c r="ED145" i="176"/>
  <c r="EB145" i="176"/>
  <c r="EA145" i="176"/>
  <c r="DZ145" i="176"/>
  <c r="DY145" i="176"/>
  <c r="DX145" i="176"/>
  <c r="DW145" i="176"/>
  <c r="DV145" i="176"/>
  <c r="DT145" i="176"/>
  <c r="DS145" i="176"/>
  <c r="DQ145" i="176"/>
  <c r="DP145" i="176"/>
  <c r="DO145" i="176"/>
  <c r="CN145" i="176"/>
  <c r="H145" i="176" s="1"/>
  <c r="CL145" i="176"/>
  <c r="CK145" i="176"/>
  <c r="CI145" i="176"/>
  <c r="CH145" i="176"/>
  <c r="CG145" i="176"/>
  <c r="CF145" i="176"/>
  <c r="CE145" i="176"/>
  <c r="CD145" i="176"/>
  <c r="CC145" i="176"/>
  <c r="CB145" i="176"/>
  <c r="CA145" i="176"/>
  <c r="BY145" i="176"/>
  <c r="BX145" i="176"/>
  <c r="BW145" i="176"/>
  <c r="BT145" i="176"/>
  <c r="BS145" i="176"/>
  <c r="AV145" i="176"/>
  <c r="AC145" i="176"/>
  <c r="Y145" i="176"/>
  <c r="ED144" i="176"/>
  <c r="EB144" i="176"/>
  <c r="EA144" i="176"/>
  <c r="DZ144" i="176"/>
  <c r="DY144" i="176"/>
  <c r="DX144" i="176"/>
  <c r="DW144" i="176"/>
  <c r="DV144" i="176"/>
  <c r="DT144" i="176"/>
  <c r="DS144" i="176"/>
  <c r="DQ144" i="176"/>
  <c r="DP144" i="176"/>
  <c r="DO144" i="176"/>
  <c r="DN144" i="176"/>
  <c r="CN144" i="176"/>
  <c r="H144" i="176" s="1"/>
  <c r="CL144" i="176"/>
  <c r="CK144" i="176"/>
  <c r="CI144" i="176"/>
  <c r="CH144" i="176"/>
  <c r="CG144" i="176"/>
  <c r="CF144" i="176"/>
  <c r="CE144" i="176"/>
  <c r="CD144" i="176"/>
  <c r="CC144" i="176"/>
  <c r="CB144" i="176"/>
  <c r="CA144" i="176"/>
  <c r="BY144" i="176"/>
  <c r="BX144" i="176"/>
  <c r="BW144" i="176"/>
  <c r="BT144" i="176"/>
  <c r="BS144" i="176"/>
  <c r="AV144" i="176"/>
  <c r="AC144" i="176"/>
  <c r="BV144" i="176" s="1"/>
  <c r="ED143" i="176"/>
  <c r="EB143" i="176"/>
  <c r="EA143" i="176"/>
  <c r="DZ143" i="176"/>
  <c r="DY143" i="176"/>
  <c r="DX143" i="176"/>
  <c r="DW143" i="176"/>
  <c r="DV143" i="176"/>
  <c r="DT143" i="176"/>
  <c r="DS143" i="176"/>
  <c r="DQ143" i="176"/>
  <c r="DP143" i="176"/>
  <c r="DO143" i="176"/>
  <c r="CN143" i="176"/>
  <c r="H143" i="176" s="1"/>
  <c r="CL143" i="176"/>
  <c r="CK143" i="176"/>
  <c r="CI143" i="176"/>
  <c r="CH143" i="176"/>
  <c r="CG143" i="176"/>
  <c r="CF143" i="176"/>
  <c r="CE143" i="176"/>
  <c r="CD143" i="176"/>
  <c r="CC143" i="176"/>
  <c r="CB143" i="176"/>
  <c r="CA143" i="176"/>
  <c r="BY143" i="176"/>
  <c r="BX143" i="176"/>
  <c r="BW143" i="176"/>
  <c r="BV143" i="176"/>
  <c r="BT143" i="176"/>
  <c r="BS143" i="176"/>
  <c r="AV143" i="176"/>
  <c r="AC143" i="176"/>
  <c r="Y143" i="176" s="1"/>
  <c r="ED142" i="176"/>
  <c r="EB142" i="176"/>
  <c r="EA142" i="176"/>
  <c r="DZ142" i="176"/>
  <c r="DY142" i="176"/>
  <c r="DX142" i="176"/>
  <c r="DW142" i="176"/>
  <c r="DV142" i="176"/>
  <c r="DT142" i="176"/>
  <c r="DS142" i="176"/>
  <c r="DQ142" i="176"/>
  <c r="DP142" i="176"/>
  <c r="DO142" i="176"/>
  <c r="CN142" i="176"/>
  <c r="H142" i="176" s="1"/>
  <c r="CL142" i="176"/>
  <c r="CK142" i="176"/>
  <c r="CI142" i="176"/>
  <c r="CH142" i="176"/>
  <c r="CG142" i="176"/>
  <c r="CF142" i="176"/>
  <c r="CE142" i="176"/>
  <c r="CD142" i="176"/>
  <c r="CC142" i="176"/>
  <c r="CB142" i="176"/>
  <c r="CA142" i="176"/>
  <c r="BY142" i="176"/>
  <c r="BX142" i="176"/>
  <c r="BW142" i="176"/>
  <c r="BT142" i="176"/>
  <c r="BS142" i="176"/>
  <c r="AV142" i="176"/>
  <c r="AC142" i="176"/>
  <c r="ED141" i="176"/>
  <c r="EB141" i="176"/>
  <c r="EA141" i="176"/>
  <c r="DZ141" i="176"/>
  <c r="DY141" i="176"/>
  <c r="DX141" i="176"/>
  <c r="DW141" i="176"/>
  <c r="DV141" i="176"/>
  <c r="DT141" i="176"/>
  <c r="DS141" i="176"/>
  <c r="DQ141" i="176"/>
  <c r="DP141" i="176"/>
  <c r="DO141" i="176"/>
  <c r="CN141" i="176"/>
  <c r="H141" i="176" s="1"/>
  <c r="CL141" i="176"/>
  <c r="CK141" i="176"/>
  <c r="CI141" i="176"/>
  <c r="CH141" i="176"/>
  <c r="CG141" i="176"/>
  <c r="CF141" i="176"/>
  <c r="CE141" i="176"/>
  <c r="CD141" i="176"/>
  <c r="CC141" i="176"/>
  <c r="CB141" i="176"/>
  <c r="CA141" i="176"/>
  <c r="BY141" i="176"/>
  <c r="BX141" i="176"/>
  <c r="BW141" i="176"/>
  <c r="BT141" i="176"/>
  <c r="BS141" i="176"/>
  <c r="AZ141" i="176"/>
  <c r="AV141" i="176" s="1"/>
  <c r="AC141" i="176"/>
  <c r="ED140" i="176"/>
  <c r="EB140" i="176"/>
  <c r="EA140" i="176"/>
  <c r="DZ140" i="176"/>
  <c r="DY140" i="176"/>
  <c r="DX140" i="176"/>
  <c r="DW140" i="176"/>
  <c r="DV140" i="176"/>
  <c r="DT140" i="176"/>
  <c r="DS140" i="176"/>
  <c r="DQ140" i="176"/>
  <c r="DP140" i="176"/>
  <c r="DO140" i="176"/>
  <c r="CN140" i="176"/>
  <c r="H140" i="176" s="1"/>
  <c r="CL140" i="176"/>
  <c r="CK140" i="176"/>
  <c r="CI140" i="176"/>
  <c r="CH140" i="176"/>
  <c r="CG140" i="176"/>
  <c r="CF140" i="176"/>
  <c r="CE140" i="176"/>
  <c r="CD140" i="176"/>
  <c r="CC140" i="176"/>
  <c r="CB140" i="176"/>
  <c r="CA140" i="176"/>
  <c r="BY140" i="176"/>
  <c r="BX140" i="176"/>
  <c r="BW140" i="176"/>
  <c r="BT140" i="176"/>
  <c r="BS140" i="176"/>
  <c r="AV140" i="176"/>
  <c r="AC140" i="176"/>
  <c r="ED139" i="176"/>
  <c r="EB139" i="176"/>
  <c r="EA139" i="176"/>
  <c r="DZ139" i="176"/>
  <c r="DY139" i="176"/>
  <c r="DX139" i="176"/>
  <c r="DW139" i="176"/>
  <c r="DV139" i="176"/>
  <c r="DT139" i="176"/>
  <c r="DS139" i="176"/>
  <c r="DQ139" i="176"/>
  <c r="DP139" i="176"/>
  <c r="DO139" i="176"/>
  <c r="DN139" i="176"/>
  <c r="CN139" i="176"/>
  <c r="H139" i="176" s="1"/>
  <c r="CL139" i="176"/>
  <c r="CK139" i="176"/>
  <c r="CI139" i="176"/>
  <c r="CH139" i="176"/>
  <c r="CG139" i="176"/>
  <c r="CF139" i="176"/>
  <c r="CE139" i="176"/>
  <c r="CD139" i="176"/>
  <c r="CC139" i="176"/>
  <c r="CB139" i="176"/>
  <c r="CA139" i="176"/>
  <c r="BY139" i="176"/>
  <c r="BX139" i="176"/>
  <c r="BW139" i="176"/>
  <c r="BT139" i="176"/>
  <c r="BS139" i="176"/>
  <c r="AV139" i="176"/>
  <c r="AC139" i="176"/>
  <c r="ED138" i="176"/>
  <c r="EB138" i="176"/>
  <c r="EA138" i="176"/>
  <c r="DZ138" i="176"/>
  <c r="DY138" i="176"/>
  <c r="DX138" i="176"/>
  <c r="DW138" i="176"/>
  <c r="DV138" i="176"/>
  <c r="DT138" i="176"/>
  <c r="DS138" i="176"/>
  <c r="DQ138" i="176"/>
  <c r="DP138" i="176"/>
  <c r="DO138" i="176"/>
  <c r="CN138" i="176"/>
  <c r="H138" i="176" s="1"/>
  <c r="CL138" i="176"/>
  <c r="CK138" i="176"/>
  <c r="CI138" i="176"/>
  <c r="CH138" i="176"/>
  <c r="CG138" i="176"/>
  <c r="CF138" i="176"/>
  <c r="CE138" i="176"/>
  <c r="CC138" i="176"/>
  <c r="CB138" i="176"/>
  <c r="CA138" i="176"/>
  <c r="BY138" i="176"/>
  <c r="BX138" i="176"/>
  <c r="BW138" i="176"/>
  <c r="BT138" i="176"/>
  <c r="BS138" i="176"/>
  <c r="BH138" i="176"/>
  <c r="CD138" i="176" s="1"/>
  <c r="AZ138" i="176"/>
  <c r="AC138" i="176"/>
  <c r="DN138" i="176" s="1"/>
  <c r="Y138" i="176"/>
  <c r="ED137" i="176"/>
  <c r="EB137" i="176"/>
  <c r="EA137" i="176"/>
  <c r="DZ137" i="176"/>
  <c r="DY137" i="176"/>
  <c r="DX137" i="176"/>
  <c r="DW137" i="176"/>
  <c r="DV137" i="176"/>
  <c r="DU137" i="176"/>
  <c r="DT137" i="176"/>
  <c r="DS137" i="176"/>
  <c r="DQ137" i="176"/>
  <c r="DP137" i="176"/>
  <c r="DO137" i="176"/>
  <c r="DN137" i="176"/>
  <c r="CN137" i="176"/>
  <c r="CL137" i="176"/>
  <c r="CK137" i="176"/>
  <c r="CI137" i="176"/>
  <c r="CH137" i="176"/>
  <c r="CG137" i="176"/>
  <c r="CF137" i="176"/>
  <c r="CE137" i="176"/>
  <c r="CD137" i="176"/>
  <c r="CC137" i="176"/>
  <c r="CB137" i="176"/>
  <c r="CA137" i="176"/>
  <c r="BY137" i="176"/>
  <c r="BX137" i="176"/>
  <c r="BW137" i="176"/>
  <c r="BT137" i="176"/>
  <c r="BS137" i="176"/>
  <c r="AZ137" i="176"/>
  <c r="BV137" i="176" s="1"/>
  <c r="Y137" i="176"/>
  <c r="ED136" i="176"/>
  <c r="EB136" i="176"/>
  <c r="EA136" i="176"/>
  <c r="DZ136" i="176"/>
  <c r="DY136" i="176"/>
  <c r="DX136" i="176"/>
  <c r="DW136" i="176"/>
  <c r="DV136" i="176"/>
  <c r="DU136" i="176"/>
  <c r="DT136" i="176"/>
  <c r="DS136" i="176"/>
  <c r="DQ136" i="176"/>
  <c r="DP136" i="176"/>
  <c r="DO136" i="176"/>
  <c r="CN136" i="176"/>
  <c r="H136" i="176" s="1"/>
  <c r="CL136" i="176"/>
  <c r="CK136" i="176"/>
  <c r="CJ136" i="176"/>
  <c r="CI136" i="176"/>
  <c r="CH136" i="176"/>
  <c r="CG136" i="176"/>
  <c r="CF136" i="176"/>
  <c r="CE136" i="176"/>
  <c r="CD136" i="176"/>
  <c r="CC136" i="176"/>
  <c r="CB136" i="176"/>
  <c r="CA136" i="176"/>
  <c r="BY136" i="176"/>
  <c r="BX136" i="176"/>
  <c r="BW136" i="176"/>
  <c r="BV136" i="176"/>
  <c r="BT136" i="176"/>
  <c r="BS136" i="176"/>
  <c r="BH136" i="176"/>
  <c r="AZ136" i="176"/>
  <c r="AV136" i="176"/>
  <c r="AC136" i="176"/>
  <c r="ED135" i="176"/>
  <c r="EB135" i="176"/>
  <c r="EA135" i="176"/>
  <c r="DZ135" i="176"/>
  <c r="DY135" i="176"/>
  <c r="DX135" i="176"/>
  <c r="DW135" i="176"/>
  <c r="DV135" i="176"/>
  <c r="DT135" i="176"/>
  <c r="DS135" i="176"/>
  <c r="DQ135" i="176"/>
  <c r="DP135" i="176"/>
  <c r="DO135" i="176"/>
  <c r="CN135" i="176"/>
  <c r="CL135" i="176"/>
  <c r="CI135" i="176"/>
  <c r="CH135" i="176"/>
  <c r="CG135" i="176"/>
  <c r="CF135" i="176"/>
  <c r="CE135" i="176"/>
  <c r="CD135" i="176"/>
  <c r="CC135" i="176"/>
  <c r="CB135" i="176"/>
  <c r="CA135" i="176"/>
  <c r="BY135" i="176"/>
  <c r="BX135" i="176"/>
  <c r="BW135" i="176"/>
  <c r="BT135" i="176"/>
  <c r="BS135" i="176"/>
  <c r="AV135" i="176"/>
  <c r="AC135" i="176"/>
  <c r="ED134" i="176"/>
  <c r="EB134" i="176"/>
  <c r="EA134" i="176"/>
  <c r="DZ134" i="176"/>
  <c r="DY134" i="176"/>
  <c r="DX134" i="176"/>
  <c r="DW134" i="176"/>
  <c r="DV134" i="176"/>
  <c r="DT134" i="176"/>
  <c r="DS134" i="176"/>
  <c r="DQ134" i="176"/>
  <c r="DP134" i="176"/>
  <c r="CS134" i="176"/>
  <c r="CS198" i="176" s="1"/>
  <c r="CR134" i="176"/>
  <c r="CN134" i="176"/>
  <c r="CL134" i="176"/>
  <c r="CI134" i="176"/>
  <c r="CH134" i="176"/>
  <c r="CG134" i="176"/>
  <c r="CF134" i="176"/>
  <c r="CE134" i="176"/>
  <c r="CD134" i="176"/>
  <c r="CC134" i="176"/>
  <c r="CB134" i="176"/>
  <c r="CA134" i="176"/>
  <c r="BY134" i="176"/>
  <c r="BX134" i="176"/>
  <c r="BV134" i="176"/>
  <c r="BT134" i="176"/>
  <c r="BS134" i="176"/>
  <c r="BA134" i="176"/>
  <c r="AZ134" i="176"/>
  <c r="AV134" i="176"/>
  <c r="AD134" i="176"/>
  <c r="AC134" i="176"/>
  <c r="ED133" i="176"/>
  <c r="EB133" i="176"/>
  <c r="EA133" i="176"/>
  <c r="DY133" i="176"/>
  <c r="DX133" i="176"/>
  <c r="DW133" i="176"/>
  <c r="DV133" i="176"/>
  <c r="DT133" i="176"/>
  <c r="DS133" i="176"/>
  <c r="DQ133" i="176"/>
  <c r="DP133" i="176"/>
  <c r="DO133" i="176"/>
  <c r="DD133" i="176"/>
  <c r="CR133" i="176"/>
  <c r="CL133" i="176"/>
  <c r="CI133" i="176"/>
  <c r="CG133" i="176"/>
  <c r="CF133" i="176"/>
  <c r="CE133" i="176"/>
  <c r="CD133" i="176"/>
  <c r="CC133" i="176"/>
  <c r="CB133" i="176"/>
  <c r="CA133" i="176"/>
  <c r="BY133" i="176"/>
  <c r="BX133" i="176"/>
  <c r="BW133" i="176"/>
  <c r="BT133" i="176"/>
  <c r="BS133" i="176"/>
  <c r="BL133" i="176"/>
  <c r="AZ133" i="176"/>
  <c r="AV133" i="176" s="1"/>
  <c r="AC133" i="176"/>
  <c r="BV133" i="176" s="1"/>
  <c r="Y133" i="176"/>
  <c r="ED132" i="176"/>
  <c r="EB132" i="176"/>
  <c r="EA132" i="176"/>
  <c r="DZ132" i="176"/>
  <c r="DY132" i="176"/>
  <c r="DX132" i="176"/>
  <c r="DW132" i="176"/>
  <c r="DV132" i="176"/>
  <c r="DT132" i="176"/>
  <c r="DS132" i="176"/>
  <c r="DQ132" i="176"/>
  <c r="DP132" i="176"/>
  <c r="DO132" i="176"/>
  <c r="DN132" i="176"/>
  <c r="CN132" i="176"/>
  <c r="CL132" i="176"/>
  <c r="CI132" i="176"/>
  <c r="CH132" i="176"/>
  <c r="CG132" i="176"/>
  <c r="CF132" i="176"/>
  <c r="CE132" i="176"/>
  <c r="CD132" i="176"/>
  <c r="CC132" i="176"/>
  <c r="CB132" i="176"/>
  <c r="CA132" i="176"/>
  <c r="BY132" i="176"/>
  <c r="BX132" i="176"/>
  <c r="BW132" i="176"/>
  <c r="BT132" i="176"/>
  <c r="BS132" i="176"/>
  <c r="AZ132" i="176"/>
  <c r="AV132" i="176"/>
  <c r="Y132" i="176"/>
  <c r="ED131" i="176"/>
  <c r="EB131" i="176"/>
  <c r="EA131" i="176"/>
  <c r="DZ131" i="176"/>
  <c r="DY131" i="176"/>
  <c r="DX131" i="176"/>
  <c r="DW131" i="176"/>
  <c r="DV131" i="176"/>
  <c r="DT131" i="176"/>
  <c r="DS131" i="176"/>
  <c r="DQ131" i="176"/>
  <c r="DO131" i="176"/>
  <c r="CN131" i="176"/>
  <c r="H131" i="176" s="1"/>
  <c r="CL131" i="176"/>
  <c r="CI131" i="176"/>
  <c r="CG131" i="176"/>
  <c r="CF131" i="176"/>
  <c r="CE131" i="176"/>
  <c r="CD131" i="176"/>
  <c r="CC131" i="176"/>
  <c r="CB131" i="176"/>
  <c r="CA131" i="176"/>
  <c r="BY131" i="176"/>
  <c r="BX131" i="176"/>
  <c r="BW131" i="176"/>
  <c r="BT131" i="176"/>
  <c r="BS131" i="176"/>
  <c r="AV131" i="176"/>
  <c r="AO131" i="176"/>
  <c r="CH131" i="176" s="1"/>
  <c r="AE131" i="176"/>
  <c r="AC131" i="176"/>
  <c r="ED130" i="176"/>
  <c r="EB130" i="176"/>
  <c r="EA130" i="176"/>
  <c r="DZ130" i="176"/>
  <c r="DY130" i="176"/>
  <c r="DX130" i="176"/>
  <c r="DW130" i="176"/>
  <c r="DV130" i="176"/>
  <c r="DT130" i="176"/>
  <c r="DS130" i="176"/>
  <c r="DQ130" i="176"/>
  <c r="DO130" i="176"/>
  <c r="DN130" i="176"/>
  <c r="CT130" i="176"/>
  <c r="CN130" i="176" s="1"/>
  <c r="CL130" i="176"/>
  <c r="CI130" i="176"/>
  <c r="CH130" i="176"/>
  <c r="CG130" i="176"/>
  <c r="CF130" i="176"/>
  <c r="CE130" i="176"/>
  <c r="CD130" i="176"/>
  <c r="CC130" i="176"/>
  <c r="CB130" i="176"/>
  <c r="CA130" i="176"/>
  <c r="BY130" i="176"/>
  <c r="BW130" i="176"/>
  <c r="BV130" i="176"/>
  <c r="BT130" i="176"/>
  <c r="BS130" i="176"/>
  <c r="BB130" i="176"/>
  <c r="Y130" i="176"/>
  <c r="ED129" i="176"/>
  <c r="EB129" i="176"/>
  <c r="EA129" i="176"/>
  <c r="DZ129" i="176"/>
  <c r="DY129" i="176"/>
  <c r="DX129" i="176"/>
  <c r="DW129" i="176"/>
  <c r="DV129" i="176"/>
  <c r="DT129" i="176"/>
  <c r="DS129" i="176"/>
  <c r="DQ129" i="176"/>
  <c r="DO129" i="176"/>
  <c r="DN129" i="176"/>
  <c r="CT129" i="176"/>
  <c r="DP129" i="176" s="1"/>
  <c r="CL129" i="176"/>
  <c r="CI129" i="176"/>
  <c r="CH129" i="176"/>
  <c r="CG129" i="176"/>
  <c r="CF129" i="176"/>
  <c r="CE129" i="176"/>
  <c r="CD129" i="176"/>
  <c r="CC129" i="176"/>
  <c r="CB129" i="176"/>
  <c r="CA129" i="176"/>
  <c r="BY129" i="176"/>
  <c r="BX129" i="176"/>
  <c r="BW129" i="176"/>
  <c r="BV129" i="176"/>
  <c r="BT129" i="176"/>
  <c r="BS129" i="176"/>
  <c r="BB129" i="176"/>
  <c r="AV129" i="176" s="1"/>
  <c r="Y129" i="176"/>
  <c r="EC128" i="176"/>
  <c r="DU128" i="176"/>
  <c r="DR128" i="176"/>
  <c r="DO128" i="176"/>
  <c r="DG128" i="176"/>
  <c r="DF128" i="176"/>
  <c r="DA128" i="176"/>
  <c r="CZ128" i="176"/>
  <c r="CY128" i="176"/>
  <c r="CX128" i="176"/>
  <c r="CW128" i="176"/>
  <c r="CU128" i="176"/>
  <c r="CT128" i="176"/>
  <c r="CR128" i="176"/>
  <c r="CP128" i="176"/>
  <c r="CK128" i="176"/>
  <c r="CJ128" i="176"/>
  <c r="BZ128" i="176"/>
  <c r="BW128" i="176"/>
  <c r="BO128" i="176"/>
  <c r="BN128" i="176"/>
  <c r="BI128" i="176"/>
  <c r="BH128" i="176"/>
  <c r="BG128" i="176"/>
  <c r="BF128" i="176"/>
  <c r="BE128" i="176"/>
  <c r="BD128" i="176"/>
  <c r="BC128" i="176"/>
  <c r="BB128" i="176"/>
  <c r="AZ128" i="176"/>
  <c r="AX128" i="176"/>
  <c r="AR128" i="176"/>
  <c r="AQ128" i="176"/>
  <c r="AP128" i="176"/>
  <c r="AN128" i="176"/>
  <c r="AL128" i="176"/>
  <c r="AK128" i="176"/>
  <c r="AJ128" i="176"/>
  <c r="AI128" i="176"/>
  <c r="AH128" i="176"/>
  <c r="AG128" i="176"/>
  <c r="AF128" i="176"/>
  <c r="AE128" i="176"/>
  <c r="AD128" i="176"/>
  <c r="AC128" i="176"/>
  <c r="AB128" i="176"/>
  <c r="Z128" i="176"/>
  <c r="G128" i="176"/>
  <c r="ED127" i="176"/>
  <c r="EB127" i="176"/>
  <c r="EA127" i="176"/>
  <c r="DZ127" i="176"/>
  <c r="DY127" i="176"/>
  <c r="DW127" i="176"/>
  <c r="DV127" i="176"/>
  <c r="DT127" i="176"/>
  <c r="DS127" i="176"/>
  <c r="DQ127" i="176"/>
  <c r="DP127" i="176"/>
  <c r="DN127" i="176"/>
  <c r="DK127" i="176"/>
  <c r="DB127" i="176"/>
  <c r="DX127" i="176" s="1"/>
  <c r="CN127" i="176"/>
  <c r="H127" i="176" s="1"/>
  <c r="CL127" i="176"/>
  <c r="CI127" i="176"/>
  <c r="CH127" i="176"/>
  <c r="CG127" i="176"/>
  <c r="CE127" i="176"/>
  <c r="CD127" i="176"/>
  <c r="BY127" i="176"/>
  <c r="BX127" i="176"/>
  <c r="BV127" i="176"/>
  <c r="BT127" i="176"/>
  <c r="BS127" i="176"/>
  <c r="BJ127" i="176"/>
  <c r="Y127" i="176"/>
  <c r="ED126" i="176"/>
  <c r="EB126" i="176"/>
  <c r="EA126" i="176"/>
  <c r="DZ126" i="176"/>
  <c r="DX126" i="176"/>
  <c r="DW126" i="176"/>
  <c r="DV126" i="176"/>
  <c r="DT126" i="176"/>
  <c r="DS126" i="176"/>
  <c r="DQ126" i="176"/>
  <c r="DP126" i="176"/>
  <c r="DN126" i="176"/>
  <c r="DK126" i="176"/>
  <c r="DE126" i="176"/>
  <c r="DC126" i="176"/>
  <c r="CL126" i="176"/>
  <c r="CH126" i="176"/>
  <c r="CF126" i="176"/>
  <c r="CE126" i="176"/>
  <c r="CD126" i="176"/>
  <c r="BY126" i="176"/>
  <c r="BX126" i="176"/>
  <c r="BV126" i="176"/>
  <c r="BT126" i="176"/>
  <c r="BS126" i="176"/>
  <c r="BM126" i="176"/>
  <c r="CI126" i="176" s="1"/>
  <c r="BK126" i="176"/>
  <c r="CG126" i="176" s="1"/>
  <c r="AV126" i="176"/>
  <c r="Y126" i="176"/>
  <c r="ED125" i="176"/>
  <c r="EB125" i="176"/>
  <c r="DZ125" i="176"/>
  <c r="DY125" i="176"/>
  <c r="DX125" i="176"/>
  <c r="DW125" i="176"/>
  <c r="DV125" i="176"/>
  <c r="DT125" i="176"/>
  <c r="DS125" i="176"/>
  <c r="DQ125" i="176"/>
  <c r="DP125" i="176"/>
  <c r="DN125" i="176"/>
  <c r="DK125" i="176"/>
  <c r="DE125" i="176"/>
  <c r="CL125" i="176"/>
  <c r="CI125" i="176"/>
  <c r="CH125" i="176"/>
  <c r="CG125" i="176"/>
  <c r="CF125" i="176"/>
  <c r="CE125" i="176"/>
  <c r="CD125" i="176"/>
  <c r="BY125" i="176"/>
  <c r="BX125" i="176"/>
  <c r="BV125" i="176"/>
  <c r="BT125" i="176"/>
  <c r="BS125" i="176"/>
  <c r="BM125" i="176"/>
  <c r="AV125" i="176"/>
  <c r="Y125" i="176"/>
  <c r="ED123" i="176"/>
  <c r="EB123" i="176"/>
  <c r="DY123" i="176"/>
  <c r="DW123" i="176"/>
  <c r="DV123" i="176"/>
  <c r="DT123" i="176"/>
  <c r="DS123" i="176"/>
  <c r="DQ123" i="176"/>
  <c r="DP123" i="176"/>
  <c r="DN123" i="176"/>
  <c r="DK123" i="176"/>
  <c r="DE123" i="176"/>
  <c r="EA123" i="176" s="1"/>
  <c r="DD123" i="176"/>
  <c r="DD205" i="176" s="1"/>
  <c r="DC123" i="176"/>
  <c r="DB123" i="176"/>
  <c r="DX123" i="176" s="1"/>
  <c r="CO123" i="176"/>
  <c r="CL123" i="176"/>
  <c r="CI123" i="176"/>
  <c r="CE123" i="176"/>
  <c r="CD123" i="176"/>
  <c r="BY123" i="176"/>
  <c r="BX123" i="176"/>
  <c r="BV123" i="176"/>
  <c r="BT123" i="176"/>
  <c r="BM123" i="176"/>
  <c r="BL123" i="176"/>
  <c r="BK123" i="176"/>
  <c r="CG123" i="176" s="1"/>
  <c r="BJ123" i="176"/>
  <c r="CF123" i="176" s="1"/>
  <c r="AW123" i="176"/>
  <c r="AO123" i="176"/>
  <c r="CH123" i="176" s="1"/>
  <c r="EB121" i="176"/>
  <c r="EA121" i="176"/>
  <c r="DZ121" i="176"/>
  <c r="DY121" i="176"/>
  <c r="DW121" i="176"/>
  <c r="DV121" i="176"/>
  <c r="DT121" i="176"/>
  <c r="DS121" i="176"/>
  <c r="DQ121" i="176"/>
  <c r="DP121" i="176"/>
  <c r="DN121" i="176"/>
  <c r="DK121" i="176"/>
  <c r="DH121" i="176"/>
  <c r="CN121" i="176"/>
  <c r="H121" i="176" s="1"/>
  <c r="CI121" i="176"/>
  <c r="CH121" i="176"/>
  <c r="CG121" i="176"/>
  <c r="CE121" i="176"/>
  <c r="CD121" i="176"/>
  <c r="BY121" i="176"/>
  <c r="BX121" i="176"/>
  <c r="BV121" i="176"/>
  <c r="BT121" i="176"/>
  <c r="BS121" i="176"/>
  <c r="BP121" i="176"/>
  <c r="CL121" i="176" s="1"/>
  <c r="BJ121" i="176"/>
  <c r="AS121" i="176"/>
  <c r="ED121" i="176" s="1"/>
  <c r="AM121" i="176"/>
  <c r="DX121" i="176" s="1"/>
  <c r="EB117" i="176"/>
  <c r="EA117" i="176"/>
  <c r="DZ117" i="176"/>
  <c r="DY117" i="176"/>
  <c r="DW117" i="176"/>
  <c r="DV117" i="176"/>
  <c r="DT117" i="176"/>
  <c r="DS117" i="176"/>
  <c r="DQ117" i="176"/>
  <c r="DP117" i="176"/>
  <c r="DN117" i="176"/>
  <c r="DK117" i="176"/>
  <c r="DH117" i="176"/>
  <c r="DB117" i="176"/>
  <c r="CI117" i="176"/>
  <c r="CH117" i="176"/>
  <c r="CG117" i="176"/>
  <c r="CF117" i="176"/>
  <c r="CE117" i="176"/>
  <c r="CD117" i="176"/>
  <c r="CC117" i="176"/>
  <c r="CB117" i="176"/>
  <c r="CA117" i="176"/>
  <c r="BY117" i="176"/>
  <c r="BX117" i="176"/>
  <c r="BV117" i="176"/>
  <c r="BT117" i="176"/>
  <c r="BS117" i="176"/>
  <c r="BP117" i="176"/>
  <c r="BJ117" i="176"/>
  <c r="AV117" i="176"/>
  <c r="AS117" i="176"/>
  <c r="EB114" i="176"/>
  <c r="EA114" i="176"/>
  <c r="DZ114" i="176"/>
  <c r="DY114" i="176"/>
  <c r="DW114" i="176"/>
  <c r="DV114" i="176"/>
  <c r="DT114" i="176"/>
  <c r="DS114" i="176"/>
  <c r="DQ114" i="176"/>
  <c r="DP114" i="176"/>
  <c r="DN114" i="176"/>
  <c r="DK114" i="176"/>
  <c r="DH114" i="176"/>
  <c r="DB114" i="176"/>
  <c r="CN114" i="176"/>
  <c r="CL114" i="176"/>
  <c r="CI114" i="176"/>
  <c r="CH114" i="176"/>
  <c r="CG114" i="176"/>
  <c r="CE114" i="176"/>
  <c r="CD114" i="176"/>
  <c r="CC114" i="176"/>
  <c r="CB114" i="176"/>
  <c r="CA114" i="176"/>
  <c r="BY114" i="176"/>
  <c r="BX114" i="176"/>
  <c r="BV114" i="176"/>
  <c r="BT114" i="176"/>
  <c r="BS114" i="176"/>
  <c r="BP114" i="176"/>
  <c r="BJ114" i="176"/>
  <c r="CF114" i="176" s="1"/>
  <c r="AV114" i="176"/>
  <c r="AU114" i="176" s="1"/>
  <c r="BQ114" i="176" s="1"/>
  <c r="AS114" i="176"/>
  <c r="Y114" i="176"/>
  <c r="H114" i="176"/>
  <c r="DZ113" i="176"/>
  <c r="DJ113" i="176" s="1"/>
  <c r="CN113" i="176"/>
  <c r="H113" i="176" s="1"/>
  <c r="BL113" i="176"/>
  <c r="Y113" i="176"/>
  <c r="CM113" i="176" s="1"/>
  <c r="DI113" i="176" s="1"/>
  <c r="ED112" i="176"/>
  <c r="DP112" i="176"/>
  <c r="DK112" i="176"/>
  <c r="DC112" i="176"/>
  <c r="CL112" i="176"/>
  <c r="CH112" i="176"/>
  <c r="CF112" i="176"/>
  <c r="CE112" i="176"/>
  <c r="BV112" i="176"/>
  <c r="BT112" i="176"/>
  <c r="BS112" i="176"/>
  <c r="BK112" i="176"/>
  <c r="AV112" i="176"/>
  <c r="Y112" i="176"/>
  <c r="ED111" i="176"/>
  <c r="DY111" i="176"/>
  <c r="DP111" i="176"/>
  <c r="CO111" i="176"/>
  <c r="CL111" i="176"/>
  <c r="CH111" i="176"/>
  <c r="CG111" i="176"/>
  <c r="CF111" i="176"/>
  <c r="CE111" i="176"/>
  <c r="BV111" i="176"/>
  <c r="BT111" i="176"/>
  <c r="AW111" i="176"/>
  <c r="Y111" i="176"/>
  <c r="ED110" i="176"/>
  <c r="EB110" i="176"/>
  <c r="DZ110" i="176"/>
  <c r="DY110" i="176"/>
  <c r="DX110" i="176"/>
  <c r="DW110" i="176"/>
  <c r="DV110" i="176"/>
  <c r="DT110" i="176"/>
  <c r="DS110" i="176"/>
  <c r="DQ110" i="176"/>
  <c r="DP110" i="176"/>
  <c r="DN110" i="176"/>
  <c r="DK110" i="176"/>
  <c r="DE110" i="176"/>
  <c r="CL110" i="176"/>
  <c r="CH110" i="176"/>
  <c r="CG110" i="176"/>
  <c r="CE110" i="176"/>
  <c r="CD110" i="176"/>
  <c r="CC110" i="176"/>
  <c r="CB110" i="176"/>
  <c r="CA110" i="176"/>
  <c r="BY110" i="176"/>
  <c r="BX110" i="176"/>
  <c r="BV110" i="176"/>
  <c r="BT110" i="176"/>
  <c r="BS110" i="176"/>
  <c r="BM110" i="176"/>
  <c r="CI110" i="176" s="1"/>
  <c r="BJ110" i="176"/>
  <c r="CF110" i="176" s="1"/>
  <c r="Y110" i="176"/>
  <c r="ED109" i="176"/>
  <c r="EB109" i="176"/>
  <c r="EA109" i="176"/>
  <c r="DZ109" i="176"/>
  <c r="DY109" i="176"/>
  <c r="DX109" i="176"/>
  <c r="DW109" i="176"/>
  <c r="DV109" i="176"/>
  <c r="DT109" i="176"/>
  <c r="DS109" i="176"/>
  <c r="DQ109" i="176"/>
  <c r="DP109" i="176"/>
  <c r="DN109" i="176"/>
  <c r="DK109" i="176"/>
  <c r="CN109" i="176"/>
  <c r="CL109" i="176"/>
  <c r="CI109" i="176"/>
  <c r="CH109" i="176"/>
  <c r="CG109" i="176"/>
  <c r="CF109" i="176"/>
  <c r="CE109" i="176"/>
  <c r="CD109" i="176"/>
  <c r="CC109" i="176"/>
  <c r="CB109" i="176"/>
  <c r="CA109" i="176"/>
  <c r="BY109" i="176"/>
  <c r="BX109" i="176"/>
  <c r="BV109" i="176"/>
  <c r="BT109" i="176"/>
  <c r="BS109" i="176"/>
  <c r="AV109" i="176"/>
  <c r="Y109" i="176"/>
  <c r="EB108" i="176"/>
  <c r="EA108" i="176"/>
  <c r="DZ108" i="176"/>
  <c r="DY108" i="176"/>
  <c r="DX108" i="176"/>
  <c r="DW108" i="176"/>
  <c r="DV108" i="176"/>
  <c r="DT108" i="176"/>
  <c r="DS108" i="176"/>
  <c r="DQ108" i="176"/>
  <c r="DP108" i="176"/>
  <c r="DN108" i="176"/>
  <c r="DK108" i="176"/>
  <c r="DH108" i="176"/>
  <c r="CI108" i="176"/>
  <c r="CH108" i="176"/>
  <c r="CG108" i="176"/>
  <c r="CF108" i="176"/>
  <c r="CE108" i="176"/>
  <c r="CD108" i="176"/>
  <c r="CC108" i="176"/>
  <c r="CB108" i="176"/>
  <c r="CA108" i="176"/>
  <c r="BY108" i="176"/>
  <c r="BX108" i="176"/>
  <c r="BV108" i="176"/>
  <c r="BT108" i="176"/>
  <c r="BS108" i="176"/>
  <c r="BP108" i="176"/>
  <c r="AS108" i="176"/>
  <c r="ED107" i="176"/>
  <c r="EB107" i="176"/>
  <c r="DZ107" i="176"/>
  <c r="DY107" i="176"/>
  <c r="DX107" i="176"/>
  <c r="DW107" i="176"/>
  <c r="DV107" i="176"/>
  <c r="DT107" i="176"/>
  <c r="DS107" i="176"/>
  <c r="DQ107" i="176"/>
  <c r="DP107" i="176"/>
  <c r="DN107" i="176"/>
  <c r="DK107" i="176"/>
  <c r="DE107" i="176"/>
  <c r="EA107" i="176" s="1"/>
  <c r="CL107" i="176"/>
  <c r="CH107" i="176"/>
  <c r="CG107" i="176"/>
  <c r="CF107" i="176"/>
  <c r="CE107" i="176"/>
  <c r="CD107" i="176"/>
  <c r="BY107" i="176"/>
  <c r="BX107" i="176"/>
  <c r="BV107" i="176"/>
  <c r="BT107" i="176"/>
  <c r="BS107" i="176"/>
  <c r="BM107" i="176"/>
  <c r="AV107" i="176" s="1"/>
  <c r="Y107" i="176"/>
  <c r="ED106" i="176"/>
  <c r="EB106" i="176"/>
  <c r="EA106" i="176"/>
  <c r="DZ106" i="176"/>
  <c r="DY106" i="176"/>
  <c r="DX106" i="176"/>
  <c r="DW106" i="176"/>
  <c r="DV106" i="176"/>
  <c r="DT106" i="176"/>
  <c r="DS106" i="176"/>
  <c r="DQ106" i="176"/>
  <c r="DP106" i="176"/>
  <c r="DN106" i="176"/>
  <c r="DK106" i="176"/>
  <c r="DE106" i="176"/>
  <c r="CN106" i="176" s="1"/>
  <c r="CL106" i="176"/>
  <c r="CH106" i="176"/>
  <c r="CG106" i="176"/>
  <c r="CF106" i="176"/>
  <c r="CE106" i="176"/>
  <c r="CD106" i="176"/>
  <c r="BY106" i="176"/>
  <c r="BX106" i="176"/>
  <c r="BV106" i="176"/>
  <c r="BT106" i="176"/>
  <c r="BS106" i="176"/>
  <c r="BM106" i="176"/>
  <c r="Y106" i="176"/>
  <c r="ED105" i="176"/>
  <c r="EB105" i="176"/>
  <c r="EA105" i="176"/>
  <c r="DZ105" i="176"/>
  <c r="DY105" i="176"/>
  <c r="DX105" i="176"/>
  <c r="DW105" i="176"/>
  <c r="DV105" i="176"/>
  <c r="DT105" i="176"/>
  <c r="DS105" i="176"/>
  <c r="DQ105" i="176"/>
  <c r="DP105" i="176"/>
  <c r="DN105" i="176"/>
  <c r="DM105" i="176"/>
  <c r="DM205" i="176" s="1"/>
  <c r="DK105" i="176"/>
  <c r="DE105" i="176"/>
  <c r="CN105" i="176" s="1"/>
  <c r="CL105" i="176"/>
  <c r="CH105" i="176"/>
  <c r="CG105" i="176"/>
  <c r="CF105" i="176"/>
  <c r="CE105" i="176"/>
  <c r="CD105" i="176"/>
  <c r="BY105" i="176"/>
  <c r="BX105" i="176"/>
  <c r="BV105" i="176"/>
  <c r="BS105" i="176"/>
  <c r="BM105" i="176"/>
  <c r="CI105" i="176" s="1"/>
  <c r="AA105" i="176"/>
  <c r="EC104" i="176"/>
  <c r="DU104" i="176"/>
  <c r="DR104" i="176"/>
  <c r="DK104" i="176"/>
  <c r="DG104" i="176"/>
  <c r="DF104" i="176"/>
  <c r="DE104" i="176"/>
  <c r="DD104" i="176"/>
  <c r="DB104" i="176"/>
  <c r="CZ104" i="176"/>
  <c r="CY104" i="176"/>
  <c r="CX104" i="176"/>
  <c r="CW104" i="176"/>
  <c r="CP104" i="176"/>
  <c r="CO104" i="176"/>
  <c r="CK104" i="176"/>
  <c r="BZ104" i="176"/>
  <c r="BU104" i="176"/>
  <c r="BO104" i="176"/>
  <c r="BN104" i="176"/>
  <c r="BM104" i="176"/>
  <c r="BL104" i="176"/>
  <c r="BJ104" i="176"/>
  <c r="BH104" i="176"/>
  <c r="BG104" i="176"/>
  <c r="BF104" i="176"/>
  <c r="BE104" i="176"/>
  <c r="BD104" i="176"/>
  <c r="AX104" i="176"/>
  <c r="AW104" i="176"/>
  <c r="AR104" i="176"/>
  <c r="AQ104" i="176"/>
  <c r="AP104" i="176"/>
  <c r="AO104" i="176"/>
  <c r="AN104" i="176"/>
  <c r="AM104" i="176"/>
  <c r="AK104" i="176"/>
  <c r="AJ104" i="176"/>
  <c r="AI104" i="176"/>
  <c r="AH104" i="176"/>
  <c r="AG104" i="176"/>
  <c r="AD104" i="176"/>
  <c r="AB104" i="176"/>
  <c r="Z104" i="176"/>
  <c r="G104" i="176"/>
  <c r="EB103" i="176"/>
  <c r="EA103" i="176"/>
  <c r="DZ103" i="176"/>
  <c r="DY103" i="176"/>
  <c r="DX103" i="176"/>
  <c r="DW103" i="176"/>
  <c r="DV103" i="176"/>
  <c r="DT103" i="176"/>
  <c r="DS103" i="176"/>
  <c r="DQ103" i="176"/>
  <c r="DP103" i="176"/>
  <c r="DN103" i="176"/>
  <c r="DH103" i="176"/>
  <c r="CN103" i="176" s="1"/>
  <c r="CL103" i="176"/>
  <c r="CI103" i="176"/>
  <c r="CH103" i="176"/>
  <c r="CG103" i="176"/>
  <c r="CF103" i="176"/>
  <c r="CE103" i="176"/>
  <c r="CD103" i="176"/>
  <c r="CB103" i="176"/>
  <c r="CA103" i="176"/>
  <c r="BY103" i="176"/>
  <c r="BX103" i="176"/>
  <c r="BV103" i="176"/>
  <c r="BT103" i="176"/>
  <c r="BS103" i="176"/>
  <c r="BP103" i="176"/>
  <c r="AV103" i="176" s="1"/>
  <c r="AS103" i="176"/>
  <c r="Y103" i="176"/>
  <c r="ED102" i="176"/>
  <c r="EB102" i="176"/>
  <c r="EA102" i="176"/>
  <c r="DZ102" i="176"/>
  <c r="DY102" i="176"/>
  <c r="DX102" i="176"/>
  <c r="DW102" i="176"/>
  <c r="DV102" i="176"/>
  <c r="DT102" i="176"/>
  <c r="DS102" i="176"/>
  <c r="DQ102" i="176"/>
  <c r="DN102" i="176"/>
  <c r="CT102" i="176"/>
  <c r="CN102" i="176"/>
  <c r="H102" i="176" s="1"/>
  <c r="CL102" i="176"/>
  <c r="CI102" i="176"/>
  <c r="CH102" i="176"/>
  <c r="CG102" i="176"/>
  <c r="CF102" i="176"/>
  <c r="CE102" i="176"/>
  <c r="CD102" i="176"/>
  <c r="CB102" i="176"/>
  <c r="CA102" i="176"/>
  <c r="BY102" i="176"/>
  <c r="BV102" i="176"/>
  <c r="BT102" i="176"/>
  <c r="BS102" i="176"/>
  <c r="BB102" i="176"/>
  <c r="AZ102" i="176"/>
  <c r="AV102" i="176"/>
  <c r="AE102" i="176"/>
  <c r="BX102" i="176" s="1"/>
  <c r="AC102" i="176"/>
  <c r="ED101" i="176"/>
  <c r="EB101" i="176"/>
  <c r="EA101" i="176"/>
  <c r="DZ101" i="176"/>
  <c r="DX101" i="176"/>
  <c r="DW101" i="176"/>
  <c r="DV101" i="176"/>
  <c r="DT101" i="176"/>
  <c r="DS101" i="176"/>
  <c r="DQ101" i="176"/>
  <c r="DO101" i="176"/>
  <c r="DO203" i="176" s="1"/>
  <c r="DC101" i="176"/>
  <c r="DY101" i="176" s="1"/>
  <c r="CT101" i="176"/>
  <c r="CN101" i="176"/>
  <c r="CL101" i="176"/>
  <c r="CI101" i="176"/>
  <c r="CH101" i="176"/>
  <c r="CF101" i="176"/>
  <c r="CE101" i="176"/>
  <c r="CD101" i="176"/>
  <c r="CB101" i="176"/>
  <c r="CA101" i="176"/>
  <c r="BY101" i="176"/>
  <c r="BT101" i="176"/>
  <c r="BS101" i="176"/>
  <c r="BK101" i="176"/>
  <c r="CG101" i="176" s="1"/>
  <c r="BB101" i="176"/>
  <c r="BA101" i="176"/>
  <c r="BW101" i="176" s="1"/>
  <c r="BW203" i="176" s="1"/>
  <c r="AE101" i="176"/>
  <c r="DP101" i="176" s="1"/>
  <c r="AC101" i="176"/>
  <c r="ED99" i="176"/>
  <c r="EB99" i="176"/>
  <c r="EA99" i="176"/>
  <c r="DZ99" i="176"/>
  <c r="DX99" i="176"/>
  <c r="DW99" i="176"/>
  <c r="DV99" i="176"/>
  <c r="DT99" i="176"/>
  <c r="DS99" i="176"/>
  <c r="DQ99" i="176"/>
  <c r="DP99" i="176"/>
  <c r="DN99" i="176"/>
  <c r="CN99" i="176"/>
  <c r="H99" i="176" s="1"/>
  <c r="CL99" i="176"/>
  <c r="CI99" i="176"/>
  <c r="CH99" i="176"/>
  <c r="CF99" i="176"/>
  <c r="CE99" i="176"/>
  <c r="CD99" i="176"/>
  <c r="CB99" i="176"/>
  <c r="CA99" i="176"/>
  <c r="BY99" i="176"/>
  <c r="BV99" i="176"/>
  <c r="BT99" i="176"/>
  <c r="BS99" i="176"/>
  <c r="BK99" i="176"/>
  <c r="BB99" i="176"/>
  <c r="AN99" i="176"/>
  <c r="DY99" i="176" s="1"/>
  <c r="AE99" i="176"/>
  <c r="Y99" i="176"/>
  <c r="ED98" i="176"/>
  <c r="EB98" i="176"/>
  <c r="EA98" i="176"/>
  <c r="DZ98" i="176"/>
  <c r="DY98" i="176"/>
  <c r="DX98" i="176"/>
  <c r="DW98" i="176"/>
  <c r="DV98" i="176"/>
  <c r="DT98" i="176"/>
  <c r="DS98" i="176"/>
  <c r="DQ98" i="176"/>
  <c r="DN98" i="176"/>
  <c r="DM98" i="176"/>
  <c r="CT98" i="176"/>
  <c r="CN98" i="176" s="1"/>
  <c r="CL98" i="176"/>
  <c r="CI98" i="176"/>
  <c r="CH98" i="176"/>
  <c r="CG98" i="176"/>
  <c r="CF98" i="176"/>
  <c r="CE98" i="176"/>
  <c r="CD98" i="176"/>
  <c r="CB98" i="176"/>
  <c r="CA98" i="176"/>
  <c r="BY98" i="176"/>
  <c r="BV98" i="176"/>
  <c r="BS98" i="176"/>
  <c r="BB98" i="176"/>
  <c r="AV98" i="176"/>
  <c r="AE98" i="176"/>
  <c r="BX98" i="176" s="1"/>
  <c r="AA98" i="176"/>
  <c r="BT98" i="176" s="1"/>
  <c r="Y98" i="176"/>
  <c r="ED97" i="176"/>
  <c r="EB97" i="176"/>
  <c r="EA97" i="176"/>
  <c r="DZ97" i="176"/>
  <c r="DY97" i="176"/>
  <c r="DX97" i="176"/>
  <c r="DW97" i="176"/>
  <c r="DV97" i="176"/>
  <c r="DT97" i="176"/>
  <c r="DS97" i="176"/>
  <c r="DQ97" i="176"/>
  <c r="DN97" i="176"/>
  <c r="CN97" i="176"/>
  <c r="CM97" i="176" s="1"/>
  <c r="DI97" i="176" s="1"/>
  <c r="CL97" i="176"/>
  <c r="CI97" i="176"/>
  <c r="CH97" i="176"/>
  <c r="CG97" i="176"/>
  <c r="CF97" i="176"/>
  <c r="CE97" i="176"/>
  <c r="CD97" i="176"/>
  <c r="CB97" i="176"/>
  <c r="CA97" i="176"/>
  <c r="BY97" i="176"/>
  <c r="BV97" i="176"/>
  <c r="BT97" i="176"/>
  <c r="BS97" i="176"/>
  <c r="BB97" i="176"/>
  <c r="AV97" i="176"/>
  <c r="AE97" i="176"/>
  <c r="DP97" i="176" s="1"/>
  <c r="Y97" i="176"/>
  <c r="H97" i="176"/>
  <c r="ED96" i="176"/>
  <c r="EB96" i="176"/>
  <c r="EA96" i="176"/>
  <c r="DZ96" i="176"/>
  <c r="DY96" i="176"/>
  <c r="DX96" i="176"/>
  <c r="DW96" i="176"/>
  <c r="DV96" i="176"/>
  <c r="DT96" i="176"/>
  <c r="DS96" i="176"/>
  <c r="DQ96" i="176"/>
  <c r="DN96" i="176"/>
  <c r="DM96" i="176"/>
  <c r="CT96" i="176"/>
  <c r="DP96" i="176" s="1"/>
  <c r="CL96" i="176"/>
  <c r="CI96" i="176"/>
  <c r="CH96" i="176"/>
  <c r="CG96" i="176"/>
  <c r="CF96" i="176"/>
  <c r="CE96" i="176"/>
  <c r="CD96" i="176"/>
  <c r="CB96" i="176"/>
  <c r="CA96" i="176"/>
  <c r="BY96" i="176"/>
  <c r="BV96" i="176"/>
  <c r="BT96" i="176"/>
  <c r="BS96" i="176"/>
  <c r="BB96" i="176"/>
  <c r="BX96" i="176" s="1"/>
  <c r="AV96" i="176"/>
  <c r="AA96" i="176"/>
  <c r="DL96" i="176" s="1"/>
  <c r="Y96" i="176"/>
  <c r="ED95" i="176"/>
  <c r="EB95" i="176"/>
  <c r="EA95" i="176"/>
  <c r="DZ95" i="176"/>
  <c r="DY95" i="176"/>
  <c r="DX95" i="176"/>
  <c r="DW95" i="176"/>
  <c r="DV95" i="176"/>
  <c r="DT95" i="176"/>
  <c r="DS95" i="176"/>
  <c r="DQ95" i="176"/>
  <c r="DN95" i="176"/>
  <c r="DM95" i="176"/>
  <c r="CT95" i="176"/>
  <c r="CN95" i="176"/>
  <c r="CL95" i="176"/>
  <c r="CI95" i="176"/>
  <c r="CH95" i="176"/>
  <c r="CG95" i="176"/>
  <c r="CF95" i="176"/>
  <c r="CE95" i="176"/>
  <c r="CD95" i="176"/>
  <c r="CB95" i="176"/>
  <c r="CA95" i="176"/>
  <c r="BY95" i="176"/>
  <c r="BV95" i="176"/>
  <c r="BS95" i="176"/>
  <c r="BB95" i="176"/>
  <c r="AV95" i="176"/>
  <c r="AE95" i="176"/>
  <c r="AA95" i="176"/>
  <c r="BT95" i="176" s="1"/>
  <c r="ED94" i="176"/>
  <c r="EB94" i="176"/>
  <c r="EA94" i="176"/>
  <c r="DZ94" i="176"/>
  <c r="DY94" i="176"/>
  <c r="DX94" i="176"/>
  <c r="DW94" i="176"/>
  <c r="DV94" i="176"/>
  <c r="DT94" i="176"/>
  <c r="DS94" i="176"/>
  <c r="DQ94" i="176"/>
  <c r="DP94" i="176"/>
  <c r="DN94" i="176"/>
  <c r="CN94" i="176"/>
  <c r="H94" i="176" s="1"/>
  <c r="CL94" i="176"/>
  <c r="CI94" i="176"/>
  <c r="CH94" i="176"/>
  <c r="CG94" i="176"/>
  <c r="CF94" i="176"/>
  <c r="CE94" i="176"/>
  <c r="CD94" i="176"/>
  <c r="CB94" i="176"/>
  <c r="CA94" i="176"/>
  <c r="BY94" i="176"/>
  <c r="BX94" i="176"/>
  <c r="BV94" i="176"/>
  <c r="BT94" i="176"/>
  <c r="BS94" i="176"/>
  <c r="AV94" i="176"/>
  <c r="Y94" i="176"/>
  <c r="ED93" i="176"/>
  <c r="EB93" i="176"/>
  <c r="EA93" i="176"/>
  <c r="DZ93" i="176"/>
  <c r="DY93" i="176"/>
  <c r="DX93" i="176"/>
  <c r="DW93" i="176"/>
  <c r="DV93" i="176"/>
  <c r="DT93" i="176"/>
  <c r="DS93" i="176"/>
  <c r="DQ93" i="176"/>
  <c r="DP93" i="176"/>
  <c r="DN93" i="176"/>
  <c r="CT93" i="176"/>
  <c r="CN93" i="176"/>
  <c r="CL93" i="176"/>
  <c r="CI93" i="176"/>
  <c r="CH93" i="176"/>
  <c r="CG93" i="176"/>
  <c r="CF93" i="176"/>
  <c r="CE93" i="176"/>
  <c r="CD93" i="176"/>
  <c r="CB93" i="176"/>
  <c r="CA93" i="176"/>
  <c r="BY93" i="176"/>
  <c r="BX93" i="176"/>
  <c r="BV93" i="176"/>
  <c r="BT93" i="176"/>
  <c r="BS93" i="176"/>
  <c r="BB93" i="176"/>
  <c r="AV93" i="176"/>
  <c r="Y93" i="176"/>
  <c r="ED92" i="176"/>
  <c r="EB92" i="176"/>
  <c r="EA92" i="176"/>
  <c r="DZ92" i="176"/>
  <c r="DY92" i="176"/>
  <c r="DX92" i="176"/>
  <c r="DW92" i="176"/>
  <c r="DV92" i="176"/>
  <c r="DT92" i="176"/>
  <c r="DS92" i="176"/>
  <c r="DN92" i="176"/>
  <c r="CT92" i="176"/>
  <c r="CL92" i="176"/>
  <c r="CI92" i="176"/>
  <c r="CH92" i="176"/>
  <c r="CG92" i="176"/>
  <c r="CF92" i="176"/>
  <c r="CE92" i="176"/>
  <c r="CD92" i="176"/>
  <c r="CB92" i="176"/>
  <c r="CA92" i="176"/>
  <c r="BV92" i="176"/>
  <c r="BT92" i="176"/>
  <c r="BS92" i="176"/>
  <c r="BB92" i="176"/>
  <c r="AF92" i="176"/>
  <c r="BY92" i="176" s="1"/>
  <c r="ED91" i="176"/>
  <c r="EB91" i="176"/>
  <c r="EA91" i="176"/>
  <c r="DZ91" i="176"/>
  <c r="DY91" i="176"/>
  <c r="DX91" i="176"/>
  <c r="DW91" i="176"/>
  <c r="DV91" i="176"/>
  <c r="DT91" i="176"/>
  <c r="DS91" i="176"/>
  <c r="DP91" i="176"/>
  <c r="DN91" i="176"/>
  <c r="CU91" i="176"/>
  <c r="CL91" i="176"/>
  <c r="CI91" i="176"/>
  <c r="CH91" i="176"/>
  <c r="CG91" i="176"/>
  <c r="CF91" i="176"/>
  <c r="CE91" i="176"/>
  <c r="CD91" i="176"/>
  <c r="CB91" i="176"/>
  <c r="CA91" i="176"/>
  <c r="BX91" i="176"/>
  <c r="BV91" i="176"/>
  <c r="BT91" i="176"/>
  <c r="BS91" i="176"/>
  <c r="BC91" i="176"/>
  <c r="BY91" i="176" s="1"/>
  <c r="AF91" i="176"/>
  <c r="Y91" i="176"/>
  <c r="ED90" i="176"/>
  <c r="EB90" i="176"/>
  <c r="EA90" i="176"/>
  <c r="DZ90" i="176"/>
  <c r="DX90" i="176"/>
  <c r="DW90" i="176"/>
  <c r="DV90" i="176"/>
  <c r="DT90" i="176"/>
  <c r="DS90" i="176"/>
  <c r="DQ90" i="176"/>
  <c r="DP90" i="176"/>
  <c r="DN90" i="176"/>
  <c r="DC90" i="176"/>
  <c r="DY90" i="176" s="1"/>
  <c r="CR90" i="176"/>
  <c r="CR203" i="176" s="1"/>
  <c r="CL90" i="176"/>
  <c r="CI90" i="176"/>
  <c r="CH90" i="176"/>
  <c r="CF90" i="176"/>
  <c r="CE90" i="176"/>
  <c r="CD90" i="176"/>
  <c r="CB90" i="176"/>
  <c r="CA90" i="176"/>
  <c r="BY90" i="176"/>
  <c r="BX90" i="176"/>
  <c r="BV90" i="176"/>
  <c r="BT90" i="176"/>
  <c r="BS90" i="176"/>
  <c r="BK90" i="176"/>
  <c r="AZ90" i="176"/>
  <c r="AZ203" i="176" s="1"/>
  <c r="Y90" i="176"/>
  <c r="ED89" i="176"/>
  <c r="EB89" i="176"/>
  <c r="EA89" i="176"/>
  <c r="DZ89" i="176"/>
  <c r="DY89" i="176"/>
  <c r="DX89" i="176"/>
  <c r="DW89" i="176"/>
  <c r="DV89" i="176"/>
  <c r="DT89" i="176"/>
  <c r="DS89" i="176"/>
  <c r="DQ89" i="176"/>
  <c r="DP89" i="176"/>
  <c r="CN89" i="176"/>
  <c r="CL89" i="176"/>
  <c r="CI89" i="176"/>
  <c r="CH89" i="176"/>
  <c r="CG89" i="176"/>
  <c r="CF89" i="176"/>
  <c r="CE89" i="176"/>
  <c r="CD89" i="176"/>
  <c r="CB89" i="176"/>
  <c r="CA89" i="176"/>
  <c r="BY89" i="176"/>
  <c r="BT89" i="176"/>
  <c r="BS89" i="176"/>
  <c r="BK89" i="176"/>
  <c r="BB89" i="176"/>
  <c r="BX89" i="176" s="1"/>
  <c r="AC89" i="176"/>
  <c r="H89" i="176"/>
  <c r="ED88" i="176"/>
  <c r="EB88" i="176"/>
  <c r="EA88" i="176"/>
  <c r="DZ88" i="176"/>
  <c r="DY88" i="176"/>
  <c r="DX88" i="176"/>
  <c r="DW88" i="176"/>
  <c r="DV88" i="176"/>
  <c r="DT88" i="176"/>
  <c r="DS88" i="176"/>
  <c r="DQ88" i="176"/>
  <c r="DP88" i="176"/>
  <c r="DN88" i="176"/>
  <c r="DM88" i="176"/>
  <c r="CN88" i="176"/>
  <c r="H88" i="176" s="1"/>
  <c r="CL88" i="176"/>
  <c r="CI88" i="176"/>
  <c r="CH88" i="176"/>
  <c r="CG88" i="176"/>
  <c r="CF88" i="176"/>
  <c r="CE88" i="176"/>
  <c r="CD88" i="176"/>
  <c r="CB88" i="176"/>
  <c r="CA88" i="176"/>
  <c r="BY88" i="176"/>
  <c r="BX88" i="176"/>
  <c r="BV88" i="176"/>
  <c r="BS88" i="176"/>
  <c r="AV88" i="176"/>
  <c r="AA88" i="176"/>
  <c r="Y88" i="176"/>
  <c r="ED87" i="176"/>
  <c r="EB87" i="176"/>
  <c r="EA87" i="176"/>
  <c r="DZ87" i="176"/>
  <c r="DY87" i="176"/>
  <c r="DX87" i="176"/>
  <c r="DV87" i="176"/>
  <c r="DT87" i="176"/>
  <c r="DS87" i="176"/>
  <c r="DQ87" i="176"/>
  <c r="DP87" i="176"/>
  <c r="DN87" i="176"/>
  <c r="DA87" i="176"/>
  <c r="DA104" i="176" s="1"/>
  <c r="CL87" i="176"/>
  <c r="CI87" i="176"/>
  <c r="CH87" i="176"/>
  <c r="CG87" i="176"/>
  <c r="CF87" i="176"/>
  <c r="CD87" i="176"/>
  <c r="CB87" i="176"/>
  <c r="CA87" i="176"/>
  <c r="BY87" i="176"/>
  <c r="BX87" i="176"/>
  <c r="BV87" i="176"/>
  <c r="BT87" i="176"/>
  <c r="BS87" i="176"/>
  <c r="BI87" i="176"/>
  <c r="AL87" i="176"/>
  <c r="Y87" i="176" s="1"/>
  <c r="EB86" i="176"/>
  <c r="EA86" i="176"/>
  <c r="DZ86" i="176"/>
  <c r="DY86" i="176"/>
  <c r="DX86" i="176"/>
  <c r="DW86" i="176"/>
  <c r="DV86" i="176"/>
  <c r="DT86" i="176"/>
  <c r="DS86" i="176"/>
  <c r="DQ86" i="176"/>
  <c r="DP86" i="176"/>
  <c r="DN86" i="176"/>
  <c r="DH86" i="176"/>
  <c r="CN86" i="176" s="1"/>
  <c r="H86" i="176" s="1"/>
  <c r="CI86" i="176"/>
  <c r="CH86" i="176"/>
  <c r="CG86" i="176"/>
  <c r="CF86" i="176"/>
  <c r="CE86" i="176"/>
  <c r="CD86" i="176"/>
  <c r="CB86" i="176"/>
  <c r="CA86" i="176"/>
  <c r="BY86" i="176"/>
  <c r="BX86" i="176"/>
  <c r="BV86" i="176"/>
  <c r="BT86" i="176"/>
  <c r="BS86" i="176"/>
  <c r="BP86" i="176"/>
  <c r="AV86" i="176" s="1"/>
  <c r="AU86" i="176" s="1"/>
  <c r="BQ86" i="176" s="1"/>
  <c r="AS86" i="176"/>
  <c r="Y86" i="176" s="1"/>
  <c r="EB85" i="176"/>
  <c r="EA85" i="176"/>
  <c r="DZ85" i="176"/>
  <c r="DY85" i="176"/>
  <c r="DX85" i="176"/>
  <c r="DW85" i="176"/>
  <c r="DV85" i="176"/>
  <c r="DT85" i="176"/>
  <c r="DS85" i="176"/>
  <c r="DQ85" i="176"/>
  <c r="DP85" i="176"/>
  <c r="DN85" i="176"/>
  <c r="DH85" i="176"/>
  <c r="CN85" i="176"/>
  <c r="H85" i="176" s="1"/>
  <c r="CI85" i="176"/>
  <c r="CH85" i="176"/>
  <c r="CG85" i="176"/>
  <c r="CF85" i="176"/>
  <c r="CE85" i="176"/>
  <c r="CD85" i="176"/>
  <c r="CB85" i="176"/>
  <c r="CA85" i="176"/>
  <c r="BY85" i="176"/>
  <c r="BX85" i="176"/>
  <c r="BV85" i="176"/>
  <c r="BT85" i="176"/>
  <c r="BS85" i="176"/>
  <c r="BP85" i="176"/>
  <c r="AV85" i="176"/>
  <c r="AS85" i="176"/>
  <c r="ED84" i="176"/>
  <c r="EB84" i="176"/>
  <c r="EA84" i="176"/>
  <c r="DZ84" i="176"/>
  <c r="DY84" i="176"/>
  <c r="DX84" i="176"/>
  <c r="DW84" i="176"/>
  <c r="DV84" i="176"/>
  <c r="DT84" i="176"/>
  <c r="DS84" i="176"/>
  <c r="DP84" i="176"/>
  <c r="DN84" i="176"/>
  <c r="DM84" i="176"/>
  <c r="DL84" i="176"/>
  <c r="CU84" i="176"/>
  <c r="CN84" i="176" s="1"/>
  <c r="CL84" i="176"/>
  <c r="CI84" i="176"/>
  <c r="CH84" i="176"/>
  <c r="CG84" i="176"/>
  <c r="CF84" i="176"/>
  <c r="CE84" i="176"/>
  <c r="CD84" i="176"/>
  <c r="CC84" i="176"/>
  <c r="CB84" i="176"/>
  <c r="CA84" i="176"/>
  <c r="BX84" i="176"/>
  <c r="BV84" i="176"/>
  <c r="BR84" i="176" s="1"/>
  <c r="BS84" i="176"/>
  <c r="BC84" i="176"/>
  <c r="BY84" i="176" s="1"/>
  <c r="AF84" i="176"/>
  <c r="AA84" i="176"/>
  <c r="BT84" i="176" s="1"/>
  <c r="ED83" i="176"/>
  <c r="EB83" i="176"/>
  <c r="EA83" i="176"/>
  <c r="DZ83" i="176"/>
  <c r="DY83" i="176"/>
  <c r="DX83" i="176"/>
  <c r="DW83" i="176"/>
  <c r="DV83" i="176"/>
  <c r="DT83" i="176"/>
  <c r="DS83" i="176"/>
  <c r="DP83" i="176"/>
  <c r="DN83" i="176"/>
  <c r="DM83" i="176"/>
  <c r="CU83" i="176"/>
  <c r="DQ83" i="176" s="1"/>
  <c r="CN83" i="176"/>
  <c r="CL83" i="176"/>
  <c r="CI83" i="176"/>
  <c r="CH83" i="176"/>
  <c r="CG83" i="176"/>
  <c r="CF83" i="176"/>
  <c r="CE83" i="176"/>
  <c r="CD83" i="176"/>
  <c r="CC83" i="176"/>
  <c r="CB83" i="176"/>
  <c r="CA83" i="176"/>
  <c r="BX83" i="176"/>
  <c r="BV83" i="176"/>
  <c r="BS83" i="176"/>
  <c r="BC83" i="176"/>
  <c r="BY83" i="176" s="1"/>
  <c r="AA83" i="176"/>
  <c r="BT83" i="176" s="1"/>
  <c r="EB82" i="176"/>
  <c r="EA82" i="176"/>
  <c r="DZ82" i="176"/>
  <c r="DY82" i="176"/>
  <c r="DX82" i="176"/>
  <c r="DW82" i="176"/>
  <c r="DV82" i="176"/>
  <c r="DT82" i="176"/>
  <c r="DS82" i="176"/>
  <c r="DQ82" i="176"/>
  <c r="DP82" i="176"/>
  <c r="DN82" i="176"/>
  <c r="DH82" i="176"/>
  <c r="CN82" i="176"/>
  <c r="H82" i="176" s="1"/>
  <c r="CI82" i="176"/>
  <c r="CH82" i="176"/>
  <c r="CG82" i="176"/>
  <c r="CF82" i="176"/>
  <c r="CE82" i="176"/>
  <c r="CD82" i="176"/>
  <c r="CC82" i="176"/>
  <c r="CB82" i="176"/>
  <c r="CA82" i="176"/>
  <c r="BY82" i="176"/>
  <c r="BX82" i="176"/>
  <c r="BV82" i="176"/>
  <c r="BT82" i="176"/>
  <c r="BS82" i="176"/>
  <c r="BP82" i="176"/>
  <c r="AV82" i="176" s="1"/>
  <c r="AS82" i="176"/>
  <c r="ED81" i="176"/>
  <c r="EB81" i="176"/>
  <c r="EA81" i="176"/>
  <c r="DZ81" i="176"/>
  <c r="DY81" i="176"/>
  <c r="DX81" i="176"/>
  <c r="DW81" i="176"/>
  <c r="DV81" i="176"/>
  <c r="DT81" i="176"/>
  <c r="DS81" i="176"/>
  <c r="DP81" i="176"/>
  <c r="DN81" i="176"/>
  <c r="CU81" i="176"/>
  <c r="CN81" i="176" s="1"/>
  <c r="H81" i="176" s="1"/>
  <c r="CL81" i="176"/>
  <c r="CJ81" i="176"/>
  <c r="CI81" i="176"/>
  <c r="CH81" i="176"/>
  <c r="CG81" i="176"/>
  <c r="CF81" i="176"/>
  <c r="CE81" i="176"/>
  <c r="CD81" i="176"/>
  <c r="CC81" i="176"/>
  <c r="CB81" i="176"/>
  <c r="CA81" i="176"/>
  <c r="BX81" i="176"/>
  <c r="BV81" i="176"/>
  <c r="BT81" i="176"/>
  <c r="BS81" i="176"/>
  <c r="BC81" i="176"/>
  <c r="AV81" i="176" s="1"/>
  <c r="AF81" i="176"/>
  <c r="EB80" i="176"/>
  <c r="EA80" i="176"/>
  <c r="DZ80" i="176"/>
  <c r="DY80" i="176"/>
  <c r="DX80" i="176"/>
  <c r="DW80" i="176"/>
  <c r="DV80" i="176"/>
  <c r="DT80" i="176"/>
  <c r="DS80" i="176"/>
  <c r="DQ80" i="176"/>
  <c r="DP80" i="176"/>
  <c r="DN80" i="176"/>
  <c r="DH80" i="176"/>
  <c r="CN80" i="176" s="1"/>
  <c r="CI80" i="176"/>
  <c r="CH80" i="176"/>
  <c r="CG80" i="176"/>
  <c r="CF80" i="176"/>
  <c r="CE80" i="176"/>
  <c r="CD80" i="176"/>
  <c r="CB80" i="176"/>
  <c r="CA80" i="176"/>
  <c r="BY80" i="176"/>
  <c r="BX80" i="176"/>
  <c r="BV80" i="176"/>
  <c r="BT80" i="176"/>
  <c r="BS80" i="176"/>
  <c r="BP80" i="176"/>
  <c r="AV80" i="176" s="1"/>
  <c r="AS80" i="176"/>
  <c r="Y80" i="176"/>
  <c r="EB79" i="176"/>
  <c r="EA79" i="176"/>
  <c r="DZ79" i="176"/>
  <c r="DY79" i="176"/>
  <c r="DX79" i="176"/>
  <c r="DW79" i="176"/>
  <c r="DV79" i="176"/>
  <c r="DT79" i="176"/>
  <c r="DS79" i="176"/>
  <c r="DQ79" i="176"/>
  <c r="DP79" i="176"/>
  <c r="DN79" i="176"/>
  <c r="DH79" i="176"/>
  <c r="CN79" i="176"/>
  <c r="CI79" i="176"/>
  <c r="CH79" i="176"/>
  <c r="CG79" i="176"/>
  <c r="CF79" i="176"/>
  <c r="CE79" i="176"/>
  <c r="CD79" i="176"/>
  <c r="CC79" i="176"/>
  <c r="CB79" i="176"/>
  <c r="CA79" i="176"/>
  <c r="BY79" i="176"/>
  <c r="BX79" i="176"/>
  <c r="BV79" i="176"/>
  <c r="BT79" i="176"/>
  <c r="BS79" i="176"/>
  <c r="BP79" i="176"/>
  <c r="AV79" i="176"/>
  <c r="AS79" i="176"/>
  <c r="ED78" i="176"/>
  <c r="EB78" i="176"/>
  <c r="EA78" i="176"/>
  <c r="DZ78" i="176"/>
  <c r="DY78" i="176"/>
  <c r="DX78" i="176"/>
  <c r="DW78" i="176"/>
  <c r="DV78" i="176"/>
  <c r="DT78" i="176"/>
  <c r="DS78" i="176"/>
  <c r="DP78" i="176"/>
  <c r="DN78" i="176"/>
  <c r="DM78" i="176"/>
  <c r="CU78" i="176"/>
  <c r="CN78" i="176"/>
  <c r="CL78" i="176"/>
  <c r="CI78" i="176"/>
  <c r="CH78" i="176"/>
  <c r="CG78" i="176"/>
  <c r="CF78" i="176"/>
  <c r="CE78" i="176"/>
  <c r="CD78" i="176"/>
  <c r="CC78" i="176"/>
  <c r="CB78" i="176"/>
  <c r="CA78" i="176"/>
  <c r="BX78" i="176"/>
  <c r="BV78" i="176"/>
  <c r="BS78" i="176"/>
  <c r="BC78" i="176"/>
  <c r="AV78" i="176"/>
  <c r="AF78" i="176"/>
  <c r="BY78" i="176" s="1"/>
  <c r="AA78" i="176"/>
  <c r="EB77" i="176"/>
  <c r="EA77" i="176"/>
  <c r="DZ77" i="176"/>
  <c r="DY77" i="176"/>
  <c r="DX77" i="176"/>
  <c r="DW77" i="176"/>
  <c r="DV77" i="176"/>
  <c r="DT77" i="176"/>
  <c r="DS77" i="176"/>
  <c r="DQ77" i="176"/>
  <c r="DP77" i="176"/>
  <c r="DN77" i="176"/>
  <c r="CN77" i="176"/>
  <c r="H77" i="176" s="1"/>
  <c r="CI77" i="176"/>
  <c r="CH77" i="176"/>
  <c r="CG77" i="176"/>
  <c r="CF77" i="176"/>
  <c r="CE77" i="176"/>
  <c r="CD77" i="176"/>
  <c r="CC77" i="176"/>
  <c r="CB77" i="176"/>
  <c r="CA77" i="176"/>
  <c r="BY77" i="176"/>
  <c r="BX77" i="176"/>
  <c r="BV77" i="176"/>
  <c r="BT77" i="176"/>
  <c r="BS77" i="176"/>
  <c r="BP77" i="176"/>
  <c r="AV77" i="176"/>
  <c r="AS77" i="176"/>
  <c r="ED77" i="176" s="1"/>
  <c r="ED76" i="176"/>
  <c r="EB76" i="176"/>
  <c r="EA76" i="176"/>
  <c r="DZ76" i="176"/>
  <c r="DY76" i="176"/>
  <c r="DX76" i="176"/>
  <c r="DW76" i="176"/>
  <c r="DV76" i="176"/>
  <c r="DT76" i="176"/>
  <c r="DS76" i="176"/>
  <c r="DQ76" i="176"/>
  <c r="DP76" i="176"/>
  <c r="DN76" i="176"/>
  <c r="DJ76" i="176" s="1"/>
  <c r="CT76" i="176"/>
  <c r="CN76" i="176"/>
  <c r="CL76" i="176"/>
  <c r="CJ76" i="176"/>
  <c r="CI76" i="176"/>
  <c r="CH76" i="176"/>
  <c r="CG76" i="176"/>
  <c r="CF76" i="176"/>
  <c r="CE76" i="176"/>
  <c r="CD76" i="176"/>
  <c r="CC76" i="176"/>
  <c r="CB76" i="176"/>
  <c r="CA76" i="176"/>
  <c r="BY76" i="176"/>
  <c r="BV76" i="176"/>
  <c r="BT76" i="176"/>
  <c r="BS76" i="176"/>
  <c r="BB76" i="176"/>
  <c r="BX76" i="176" s="1"/>
  <c r="Y76" i="176"/>
  <c r="ED75" i="176"/>
  <c r="EB75" i="176"/>
  <c r="EA75" i="176"/>
  <c r="DZ75" i="176"/>
  <c r="DY75" i="176"/>
  <c r="DX75" i="176"/>
  <c r="DW75" i="176"/>
  <c r="DV75" i="176"/>
  <c r="DT75" i="176"/>
  <c r="DS75" i="176"/>
  <c r="DQ75" i="176"/>
  <c r="DN75" i="176"/>
  <c r="DC75" i="176"/>
  <c r="CT75" i="176"/>
  <c r="DP75" i="176" s="1"/>
  <c r="CL75" i="176"/>
  <c r="CJ75" i="176"/>
  <c r="CI75" i="176"/>
  <c r="CH75" i="176"/>
  <c r="CF75" i="176"/>
  <c r="CE75" i="176"/>
  <c r="CD75" i="176"/>
  <c r="CC75" i="176"/>
  <c r="CB75" i="176"/>
  <c r="CA75" i="176"/>
  <c r="BY75" i="176"/>
  <c r="BV75" i="176"/>
  <c r="BT75" i="176"/>
  <c r="BS75" i="176"/>
  <c r="BK75" i="176"/>
  <c r="CG75" i="176" s="1"/>
  <c r="BB75" i="176"/>
  <c r="Y75" i="176"/>
  <c r="ED74" i="176"/>
  <c r="EB74" i="176"/>
  <c r="EA74" i="176"/>
  <c r="DZ74" i="176"/>
  <c r="DY74" i="176"/>
  <c r="DX74" i="176"/>
  <c r="DW74" i="176"/>
  <c r="DV74" i="176"/>
  <c r="DT74" i="176"/>
  <c r="DS74" i="176"/>
  <c r="DP74" i="176"/>
  <c r="DN74" i="176"/>
  <c r="CU74" i="176"/>
  <c r="CU104" i="176" s="1"/>
  <c r="CL74" i="176"/>
  <c r="CJ74" i="176"/>
  <c r="CI74" i="176"/>
  <c r="CH74" i="176"/>
  <c r="CG74" i="176"/>
  <c r="CF74" i="176"/>
  <c r="CE74" i="176"/>
  <c r="CD74" i="176"/>
  <c r="CC74" i="176"/>
  <c r="CB74" i="176"/>
  <c r="CA74" i="176"/>
  <c r="BX74" i="176"/>
  <c r="BV74" i="176"/>
  <c r="BT74" i="176"/>
  <c r="BS74" i="176"/>
  <c r="BC74" i="176"/>
  <c r="AV74" i="176" s="1"/>
  <c r="AF74" i="176"/>
  <c r="EB73" i="176"/>
  <c r="EA73" i="176"/>
  <c r="DZ73" i="176"/>
  <c r="DY73" i="176"/>
  <c r="DX73" i="176"/>
  <c r="DW73" i="176"/>
  <c r="DV73" i="176"/>
  <c r="DT73" i="176"/>
  <c r="DS73" i="176"/>
  <c r="DQ73" i="176"/>
  <c r="DP73" i="176"/>
  <c r="DN73" i="176"/>
  <c r="DH73" i="176"/>
  <c r="CN73" i="176" s="1"/>
  <c r="CI73" i="176"/>
  <c r="CH73" i="176"/>
  <c r="CG73" i="176"/>
  <c r="CF73" i="176"/>
  <c r="CE73" i="176"/>
  <c r="CD73" i="176"/>
  <c r="CC73" i="176"/>
  <c r="CB73" i="176"/>
  <c r="BY73" i="176"/>
  <c r="BX73" i="176"/>
  <c r="BV73" i="176"/>
  <c r="BT73" i="176"/>
  <c r="BS73" i="176"/>
  <c r="BP73" i="176"/>
  <c r="AS73" i="176"/>
  <c r="Y73" i="176"/>
  <c r="ED72" i="176"/>
  <c r="EB72" i="176"/>
  <c r="EA72" i="176"/>
  <c r="DZ72" i="176"/>
  <c r="DY72" i="176"/>
  <c r="DX72" i="176"/>
  <c r="DW72" i="176"/>
  <c r="DV72" i="176"/>
  <c r="DT72" i="176"/>
  <c r="DS72" i="176"/>
  <c r="DQ72" i="176"/>
  <c r="DP72" i="176"/>
  <c r="DN72" i="176"/>
  <c r="DH72" i="176"/>
  <c r="CN72" i="176"/>
  <c r="CM72" i="176"/>
  <c r="DI72" i="176" s="1"/>
  <c r="CJ72" i="176"/>
  <c r="CI72" i="176"/>
  <c r="CH72" i="176"/>
  <c r="CG72" i="176"/>
  <c r="CF72" i="176"/>
  <c r="CE72" i="176"/>
  <c r="CD72" i="176"/>
  <c r="CC72" i="176"/>
  <c r="CB72" i="176"/>
  <c r="CA72" i="176"/>
  <c r="BY72" i="176"/>
  <c r="BX72" i="176"/>
  <c r="BV72" i="176"/>
  <c r="BT72" i="176"/>
  <c r="BS72" i="176"/>
  <c r="BP72" i="176"/>
  <c r="CL72" i="176" s="1"/>
  <c r="AS72" i="176"/>
  <c r="Y72" i="176"/>
  <c r="H72" i="176"/>
  <c r="I72" i="176" s="1"/>
  <c r="EB71" i="176"/>
  <c r="EA71" i="176"/>
  <c r="DZ71" i="176"/>
  <c r="DX71" i="176"/>
  <c r="DW71" i="176"/>
  <c r="DV71" i="176"/>
  <c r="DT71" i="176"/>
  <c r="DS71" i="176"/>
  <c r="DQ71" i="176"/>
  <c r="DP71" i="176"/>
  <c r="DN71" i="176"/>
  <c r="DH71" i="176"/>
  <c r="ED71" i="176" s="1"/>
  <c r="DC71" i="176"/>
  <c r="CT71" i="176"/>
  <c r="CI71" i="176"/>
  <c r="CH71" i="176"/>
  <c r="CF71" i="176"/>
  <c r="CE71" i="176"/>
  <c r="CD71" i="176"/>
  <c r="CC71" i="176"/>
  <c r="CB71" i="176"/>
  <c r="CA71" i="176"/>
  <c r="BY71" i="176"/>
  <c r="BV71" i="176"/>
  <c r="BT71" i="176"/>
  <c r="BS71" i="176"/>
  <c r="BP71" i="176"/>
  <c r="BK71" i="176"/>
  <c r="BB71" i="176"/>
  <c r="BX71" i="176" s="1"/>
  <c r="AS71" i="176"/>
  <c r="AN71" i="176"/>
  <c r="ED70" i="176"/>
  <c r="EB70" i="176"/>
  <c r="EA70" i="176"/>
  <c r="DZ70" i="176"/>
  <c r="DX70" i="176"/>
  <c r="DW70" i="176"/>
  <c r="DV70" i="176"/>
  <c r="DT70" i="176"/>
  <c r="DS70" i="176"/>
  <c r="DQ70" i="176"/>
  <c r="DN70" i="176"/>
  <c r="DC70" i="176"/>
  <c r="CT70" i="176"/>
  <c r="DP70" i="176" s="1"/>
  <c r="CL70" i="176"/>
  <c r="CI70" i="176"/>
  <c r="CH70" i="176"/>
  <c r="CF70" i="176"/>
  <c r="CE70" i="176"/>
  <c r="CD70" i="176"/>
  <c r="CB70" i="176"/>
  <c r="BY70" i="176"/>
  <c r="BV70" i="176"/>
  <c r="BT70" i="176"/>
  <c r="BS70" i="176"/>
  <c r="BK70" i="176"/>
  <c r="BB70" i="176"/>
  <c r="AE70" i="176"/>
  <c r="BX70" i="176" s="1"/>
  <c r="ED69" i="176"/>
  <c r="EB69" i="176"/>
  <c r="EA69" i="176"/>
  <c r="DZ69" i="176"/>
  <c r="DY69" i="176"/>
  <c r="DX69" i="176"/>
  <c r="DW69" i="176"/>
  <c r="DV69" i="176"/>
  <c r="DT69" i="176"/>
  <c r="DS69" i="176"/>
  <c r="DQ69" i="176"/>
  <c r="DN69" i="176"/>
  <c r="CT69" i="176"/>
  <c r="CL69" i="176"/>
  <c r="CI69" i="176"/>
  <c r="CH69" i="176"/>
  <c r="CG69" i="176"/>
  <c r="CF69" i="176"/>
  <c r="CE69" i="176"/>
  <c r="CD69" i="176"/>
  <c r="CB69" i="176"/>
  <c r="BY69" i="176"/>
  <c r="BV69" i="176"/>
  <c r="BT69" i="176"/>
  <c r="BS69" i="176"/>
  <c r="BB69" i="176"/>
  <c r="AE69" i="176"/>
  <c r="Y69" i="176" s="1"/>
  <c r="EB68" i="176"/>
  <c r="EA68" i="176"/>
  <c r="DZ68" i="176"/>
  <c r="DY68" i="176"/>
  <c r="DX68" i="176"/>
  <c r="DW68" i="176"/>
  <c r="DV68" i="176"/>
  <c r="DT68" i="176"/>
  <c r="DS68" i="176"/>
  <c r="DQ68" i="176"/>
  <c r="DP68" i="176"/>
  <c r="DN68" i="176"/>
  <c r="DH68" i="176"/>
  <c r="CI68" i="176"/>
  <c r="CH68" i="176"/>
  <c r="CG68" i="176"/>
  <c r="CF68" i="176"/>
  <c r="CE68" i="176"/>
  <c r="CD68" i="176"/>
  <c r="CC68" i="176"/>
  <c r="CB68" i="176"/>
  <c r="CA68" i="176"/>
  <c r="BY68" i="176"/>
  <c r="BX68" i="176"/>
  <c r="BV68" i="176"/>
  <c r="BT68" i="176"/>
  <c r="BS68" i="176"/>
  <c r="BP68" i="176"/>
  <c r="AS68" i="176"/>
  <c r="EC67" i="176"/>
  <c r="DU67" i="176"/>
  <c r="DO67" i="176"/>
  <c r="DK67" i="176"/>
  <c r="DG67" i="176"/>
  <c r="DE67" i="176"/>
  <c r="CZ67" i="176"/>
  <c r="CY67" i="176"/>
  <c r="CX67" i="176"/>
  <c r="CS67" i="176"/>
  <c r="CO67" i="176"/>
  <c r="BW67" i="176"/>
  <c r="BO67" i="176"/>
  <c r="BM67" i="176"/>
  <c r="BH67" i="176"/>
  <c r="BG67" i="176"/>
  <c r="BF67" i="176"/>
  <c r="BD67" i="176"/>
  <c r="BA67" i="176"/>
  <c r="AY67" i="176"/>
  <c r="AY196" i="176" s="1"/>
  <c r="AW67" i="176"/>
  <c r="AR67" i="176"/>
  <c r="AQ67" i="176"/>
  <c r="AP67" i="176"/>
  <c r="AO67" i="176"/>
  <c r="AK67" i="176"/>
  <c r="AJ67" i="176"/>
  <c r="AI67" i="176"/>
  <c r="AH67" i="176"/>
  <c r="AG67" i="176"/>
  <c r="AD67" i="176"/>
  <c r="AB67" i="176"/>
  <c r="Z67" i="176"/>
  <c r="G67" i="176"/>
  <c r="EB66" i="176"/>
  <c r="EA66" i="176"/>
  <c r="DZ66" i="176"/>
  <c r="DY66" i="176"/>
  <c r="DX66" i="176"/>
  <c r="DW66" i="176"/>
  <c r="DV66" i="176"/>
  <c r="DT66" i="176"/>
  <c r="DS66" i="176"/>
  <c r="DQ66" i="176"/>
  <c r="DP66" i="176"/>
  <c r="DN66" i="176"/>
  <c r="DL66" i="176"/>
  <c r="DH66" i="176"/>
  <c r="CN66" i="176" s="1"/>
  <c r="CK66" i="176"/>
  <c r="CJ66" i="176"/>
  <c r="CI66" i="176"/>
  <c r="CH66" i="176"/>
  <c r="CG66" i="176"/>
  <c r="CF66" i="176"/>
  <c r="CE66" i="176"/>
  <c r="CD66" i="176"/>
  <c r="CC66" i="176"/>
  <c r="CB66" i="176"/>
  <c r="CA66" i="176"/>
  <c r="BY66" i="176"/>
  <c r="BX66" i="176"/>
  <c r="BV66" i="176"/>
  <c r="BU66" i="176"/>
  <c r="BS66" i="176"/>
  <c r="AV66" i="176"/>
  <c r="AS66" i="176"/>
  <c r="ED65" i="176"/>
  <c r="EB65" i="176"/>
  <c r="EA65" i="176"/>
  <c r="DZ65" i="176"/>
  <c r="DW65" i="176"/>
  <c r="DV65" i="176"/>
  <c r="DT65" i="176"/>
  <c r="DS65" i="176"/>
  <c r="DQ65" i="176"/>
  <c r="DP65" i="176"/>
  <c r="DN65" i="176"/>
  <c r="DC65" i="176"/>
  <c r="DY65" i="176" s="1"/>
  <c r="DB65" i="176"/>
  <c r="DB67" i="176" s="1"/>
  <c r="CL65" i="176"/>
  <c r="CI65" i="176"/>
  <c r="CF65" i="176"/>
  <c r="CE65" i="176"/>
  <c r="CD65" i="176"/>
  <c r="CB65" i="176"/>
  <c r="BY65" i="176"/>
  <c r="BX65" i="176"/>
  <c r="BV65" i="176"/>
  <c r="BU65" i="176"/>
  <c r="BS65" i="176"/>
  <c r="BK65" i="176"/>
  <c r="CG65" i="176" s="1"/>
  <c r="BJ65" i="176"/>
  <c r="AO65" i="176"/>
  <c r="CH65" i="176" s="1"/>
  <c r="Y65" i="176"/>
  <c r="EB64" i="176"/>
  <c r="EA64" i="176"/>
  <c r="DX64" i="176"/>
  <c r="DW64" i="176"/>
  <c r="DV64" i="176"/>
  <c r="DT64" i="176"/>
  <c r="DS64" i="176"/>
  <c r="DQ64" i="176"/>
  <c r="DP64" i="176"/>
  <c r="DN64" i="176"/>
  <c r="DD64" i="176"/>
  <c r="DC64" i="176"/>
  <c r="CI64" i="176"/>
  <c r="CF64" i="176"/>
  <c r="CE64" i="176"/>
  <c r="CD64" i="176"/>
  <c r="CB64" i="176"/>
  <c r="BY64" i="176"/>
  <c r="BX64" i="176"/>
  <c r="BV64" i="176"/>
  <c r="BU64" i="176"/>
  <c r="BS64" i="176"/>
  <c r="BP64" i="176"/>
  <c r="BL64" i="176"/>
  <c r="BK64" i="176"/>
  <c r="AS64" i="176"/>
  <c r="CL64" i="176" s="1"/>
  <c r="AO64" i="176"/>
  <c r="ED63" i="176"/>
  <c r="EB63" i="176"/>
  <c r="EA63" i="176"/>
  <c r="DZ63" i="176"/>
  <c r="DY63" i="176"/>
  <c r="DX63" i="176"/>
  <c r="DW63" i="176"/>
  <c r="DV63" i="176"/>
  <c r="DT63" i="176"/>
  <c r="DS63" i="176"/>
  <c r="DQ63" i="176"/>
  <c r="DP63" i="176"/>
  <c r="DN63" i="176"/>
  <c r="DD63" i="176"/>
  <c r="CN63" i="176" s="1"/>
  <c r="H63" i="176" s="1"/>
  <c r="CL63" i="176"/>
  <c r="CI63" i="176"/>
  <c r="CH63" i="176"/>
  <c r="CG63" i="176"/>
  <c r="CF63" i="176"/>
  <c r="CE63" i="176"/>
  <c r="CD63" i="176"/>
  <c r="CB63" i="176"/>
  <c r="BY63" i="176"/>
  <c r="BX63" i="176"/>
  <c r="BV63" i="176"/>
  <c r="BU63" i="176"/>
  <c r="BS63" i="176"/>
  <c r="BL63" i="176"/>
  <c r="AV63" i="176" s="1"/>
  <c r="AU63" i="176" s="1"/>
  <c r="BQ63" i="176" s="1"/>
  <c r="Y63" i="176"/>
  <c r="ED62" i="176"/>
  <c r="EB62" i="176"/>
  <c r="EA62" i="176"/>
  <c r="DZ62" i="176"/>
  <c r="DX62" i="176"/>
  <c r="DW62" i="176"/>
  <c r="DV62" i="176"/>
  <c r="DT62" i="176"/>
  <c r="DS62" i="176"/>
  <c r="DQ62" i="176"/>
  <c r="DP62" i="176"/>
  <c r="DN62" i="176"/>
  <c r="DD62" i="176"/>
  <c r="DC62" i="176"/>
  <c r="CL62" i="176"/>
  <c r="CI62" i="176"/>
  <c r="CF62" i="176"/>
  <c r="CE62" i="176"/>
  <c r="CD62" i="176"/>
  <c r="CB62" i="176"/>
  <c r="BY62" i="176"/>
  <c r="BX62" i="176"/>
  <c r="BV62" i="176"/>
  <c r="BU62" i="176"/>
  <c r="BS62" i="176"/>
  <c r="BL62" i="176"/>
  <c r="BK62" i="176"/>
  <c r="AO62" i="176"/>
  <c r="Y62" i="176" s="1"/>
  <c r="EB61" i="176"/>
  <c r="EA61" i="176"/>
  <c r="DZ61" i="176"/>
  <c r="DY61" i="176"/>
  <c r="DX61" i="176"/>
  <c r="DW61" i="176"/>
  <c r="DV61" i="176"/>
  <c r="DT61" i="176"/>
  <c r="DS61" i="176"/>
  <c r="DQ61" i="176"/>
  <c r="DP61" i="176"/>
  <c r="DN61" i="176"/>
  <c r="CN61" i="176"/>
  <c r="H61" i="176" s="1"/>
  <c r="CI61" i="176"/>
  <c r="CH61" i="176"/>
  <c r="CG61" i="176"/>
  <c r="CF61" i="176"/>
  <c r="CE61" i="176"/>
  <c r="CD61" i="176"/>
  <c r="CB61" i="176"/>
  <c r="BY61" i="176"/>
  <c r="BX61" i="176"/>
  <c r="BV61" i="176"/>
  <c r="BU61" i="176"/>
  <c r="BS61" i="176"/>
  <c r="BP61" i="176"/>
  <c r="AV61" i="176" s="1"/>
  <c r="AS61" i="176"/>
  <c r="ED60" i="176"/>
  <c r="EB60" i="176"/>
  <c r="EA60" i="176"/>
  <c r="DZ60" i="176"/>
  <c r="DY60" i="176"/>
  <c r="DX60" i="176"/>
  <c r="DW60" i="176"/>
  <c r="DV60" i="176"/>
  <c r="DT60" i="176"/>
  <c r="DS60" i="176"/>
  <c r="DQ60" i="176"/>
  <c r="DM60" i="176"/>
  <c r="CT60" i="176"/>
  <c r="CR60" i="176"/>
  <c r="CL60" i="176"/>
  <c r="CI60" i="176"/>
  <c r="CH60" i="176"/>
  <c r="CG60" i="176"/>
  <c r="CF60" i="176"/>
  <c r="CE60" i="176"/>
  <c r="CD60" i="176"/>
  <c r="CB60" i="176"/>
  <c r="BY60" i="176"/>
  <c r="BU60" i="176"/>
  <c r="BS60" i="176"/>
  <c r="BB60" i="176"/>
  <c r="AZ60" i="176"/>
  <c r="AE60" i="176"/>
  <c r="AC60" i="176"/>
  <c r="BV60" i="176" s="1"/>
  <c r="AA60" i="176"/>
  <c r="DL60" i="176" s="1"/>
  <c r="CN59" i="176"/>
  <c r="H59" i="176" s="1"/>
  <c r="BU59" i="176"/>
  <c r="BP59" i="176"/>
  <c r="AV59" i="176" s="1"/>
  <c r="AS59" i="176"/>
  <c r="EB58" i="176"/>
  <c r="EA58" i="176"/>
  <c r="DZ58" i="176"/>
  <c r="DY58" i="176"/>
  <c r="DX58" i="176"/>
  <c r="DW58" i="176"/>
  <c r="DV58" i="176"/>
  <c r="DT58" i="176"/>
  <c r="DS58" i="176"/>
  <c r="DQ58" i="176"/>
  <c r="CR58" i="176"/>
  <c r="CN58" i="176" s="1"/>
  <c r="CI58" i="176"/>
  <c r="CH58" i="176"/>
  <c r="CG58" i="176"/>
  <c r="CF58" i="176"/>
  <c r="CE58" i="176"/>
  <c r="CD58" i="176"/>
  <c r="CB58" i="176"/>
  <c r="BY58" i="176"/>
  <c r="BU58" i="176"/>
  <c r="BS58" i="176"/>
  <c r="AZ58" i="176"/>
  <c r="AV58" i="176" s="1"/>
  <c r="AS58" i="176"/>
  <c r="ED58" i="176" s="1"/>
  <c r="AE58" i="176"/>
  <c r="DP58" i="176" s="1"/>
  <c r="AC58" i="176"/>
  <c r="ED57" i="176"/>
  <c r="EB57" i="176"/>
  <c r="EA57" i="176"/>
  <c r="DZ57" i="176"/>
  <c r="DY57" i="176"/>
  <c r="DX57" i="176"/>
  <c r="DW57" i="176"/>
  <c r="DV57" i="176"/>
  <c r="DT57" i="176"/>
  <c r="DS57" i="176"/>
  <c r="DQ57" i="176"/>
  <c r="DN57" i="176"/>
  <c r="CT57" i="176"/>
  <c r="DP57" i="176" s="1"/>
  <c r="CN57" i="176"/>
  <c r="CL57" i="176"/>
  <c r="CI57" i="176"/>
  <c r="CH57" i="176"/>
  <c r="CG57" i="176"/>
  <c r="CF57" i="176"/>
  <c r="CE57" i="176"/>
  <c r="CD57" i="176"/>
  <c r="CB57" i="176"/>
  <c r="BY57" i="176"/>
  <c r="BV57" i="176"/>
  <c r="BU57" i="176"/>
  <c r="BS57" i="176"/>
  <c r="BB57" i="176"/>
  <c r="Y57" i="176"/>
  <c r="ED56" i="176"/>
  <c r="EB56" i="176"/>
  <c r="EA56" i="176"/>
  <c r="DZ56" i="176"/>
  <c r="DY56" i="176"/>
  <c r="DX56" i="176"/>
  <c r="DW56" i="176"/>
  <c r="DV56" i="176"/>
  <c r="DT56" i="176"/>
  <c r="DS56" i="176"/>
  <c r="DQ56" i="176"/>
  <c r="DP56" i="176"/>
  <c r="DN56" i="176"/>
  <c r="CT56" i="176"/>
  <c r="CN56" i="176" s="1"/>
  <c r="H56" i="176" s="1"/>
  <c r="CL56" i="176"/>
  <c r="CK56" i="176"/>
  <c r="CJ56" i="176"/>
  <c r="CI56" i="176"/>
  <c r="CH56" i="176"/>
  <c r="CG56" i="176"/>
  <c r="CF56" i="176"/>
  <c r="CE56" i="176"/>
  <c r="CD56" i="176"/>
  <c r="CC56" i="176"/>
  <c r="CB56" i="176"/>
  <c r="CA56" i="176"/>
  <c r="BY56" i="176"/>
  <c r="BV56" i="176"/>
  <c r="BU56" i="176"/>
  <c r="BT56" i="176"/>
  <c r="BS56" i="176"/>
  <c r="BB56" i="176"/>
  <c r="BX56" i="176" s="1"/>
  <c r="Y56" i="176"/>
  <c r="I56" i="176" s="1"/>
  <c r="ED55" i="176"/>
  <c r="EB55" i="176"/>
  <c r="EA55" i="176"/>
  <c r="DZ55" i="176"/>
  <c r="DY55" i="176"/>
  <c r="DX55" i="176"/>
  <c r="DW55" i="176"/>
  <c r="DV55" i="176"/>
  <c r="DT55" i="176"/>
  <c r="DS55" i="176"/>
  <c r="DQ55" i="176"/>
  <c r="DP55" i="176"/>
  <c r="DN55" i="176"/>
  <c r="DA55" i="176"/>
  <c r="CN55" i="176"/>
  <c r="H55" i="176" s="1"/>
  <c r="CL55" i="176"/>
  <c r="CI55" i="176"/>
  <c r="CH55" i="176"/>
  <c r="CF55" i="176"/>
  <c r="CD55" i="176"/>
  <c r="CB55" i="176"/>
  <c r="BY55" i="176"/>
  <c r="BX55" i="176"/>
  <c r="BV55" i="176"/>
  <c r="BU55" i="176"/>
  <c r="BT55" i="176"/>
  <c r="BS55" i="176"/>
  <c r="BI55" i="176"/>
  <c r="AL55" i="176"/>
  <c r="AL201" i="176" s="1"/>
  <c r="ED54" i="176"/>
  <c r="EB54" i="176"/>
  <c r="EA54" i="176"/>
  <c r="DY54" i="176"/>
  <c r="DX54" i="176"/>
  <c r="DW54" i="176"/>
  <c r="DV54" i="176"/>
  <c r="DT54" i="176"/>
  <c r="DS54" i="176"/>
  <c r="DQ54" i="176"/>
  <c r="DN54" i="176"/>
  <c r="DM54" i="176"/>
  <c r="DD54" i="176"/>
  <c r="CT54" i="176"/>
  <c r="DP54" i="176" s="1"/>
  <c r="CP54" i="176"/>
  <c r="CL54" i="176"/>
  <c r="CK54" i="176"/>
  <c r="CJ54" i="176"/>
  <c r="CI54" i="176"/>
  <c r="CG54" i="176"/>
  <c r="CF54" i="176"/>
  <c r="CE54" i="176"/>
  <c r="CD54" i="176"/>
  <c r="CC54" i="176"/>
  <c r="CB54" i="176"/>
  <c r="CA54" i="176"/>
  <c r="BY54" i="176"/>
  <c r="BV54" i="176"/>
  <c r="BU54" i="176"/>
  <c r="BS54" i="176"/>
  <c r="BL54" i="176"/>
  <c r="CH54" i="176" s="1"/>
  <c r="BB54" i="176"/>
  <c r="BX54" i="176" s="1"/>
  <c r="AX54" i="176"/>
  <c r="AV54" i="176"/>
  <c r="AA54" i="176"/>
  <c r="Y54" i="176"/>
  <c r="EB53" i="176"/>
  <c r="EA53" i="176"/>
  <c r="DZ53" i="176"/>
  <c r="DY53" i="176"/>
  <c r="DX53" i="176"/>
  <c r="DW53" i="176"/>
  <c r="DV53" i="176"/>
  <c r="DT53" i="176"/>
  <c r="DS53" i="176"/>
  <c r="DQ53" i="176"/>
  <c r="DP53" i="176"/>
  <c r="DN53" i="176"/>
  <c r="DH53" i="176"/>
  <c r="CN53" i="176" s="1"/>
  <c r="CK53" i="176"/>
  <c r="CJ53" i="176"/>
  <c r="CI53" i="176"/>
  <c r="CH53" i="176"/>
  <c r="CG53" i="176"/>
  <c r="CF53" i="176"/>
  <c r="CE53" i="176"/>
  <c r="CD53" i="176"/>
  <c r="CC53" i="176"/>
  <c r="CB53" i="176"/>
  <c r="CA53" i="176"/>
  <c r="BY53" i="176"/>
  <c r="BX53" i="176"/>
  <c r="BV53" i="176"/>
  <c r="BU53" i="176"/>
  <c r="BT53" i="176"/>
  <c r="BS53" i="176"/>
  <c r="BP53" i="176"/>
  <c r="AV53" i="176" s="1"/>
  <c r="AS53" i="176"/>
  <c r="ED53" i="176" s="1"/>
  <c r="Y53" i="176"/>
  <c r="ED52" i="176"/>
  <c r="EB52" i="176"/>
  <c r="EA52" i="176"/>
  <c r="DZ52" i="176"/>
  <c r="DY52" i="176"/>
  <c r="DX52" i="176"/>
  <c r="DW52" i="176"/>
  <c r="DV52" i="176"/>
  <c r="DT52" i="176"/>
  <c r="DS52" i="176"/>
  <c r="DQ52" i="176"/>
  <c r="DP52" i="176"/>
  <c r="DN52" i="176"/>
  <c r="DA52" i="176"/>
  <c r="CN52" i="176"/>
  <c r="H52" i="176" s="1"/>
  <c r="CL52" i="176"/>
  <c r="CI52" i="176"/>
  <c r="CH52" i="176"/>
  <c r="CG52" i="176"/>
  <c r="CF52" i="176"/>
  <c r="CE52" i="176"/>
  <c r="CD52" i="176"/>
  <c r="CC52" i="176"/>
  <c r="CB52" i="176"/>
  <c r="CA52" i="176"/>
  <c r="BY52" i="176"/>
  <c r="BX52" i="176"/>
  <c r="BV52" i="176"/>
  <c r="BU52" i="176"/>
  <c r="BT52" i="176"/>
  <c r="BS52" i="176"/>
  <c r="AV52" i="176"/>
  <c r="AU52" i="176" s="1"/>
  <c r="BQ52" i="176" s="1"/>
  <c r="Y52" i="176"/>
  <c r="EB51" i="176"/>
  <c r="EA51" i="176"/>
  <c r="DZ51" i="176"/>
  <c r="DY51" i="176"/>
  <c r="DX51" i="176"/>
  <c r="DW51" i="176"/>
  <c r="DV51" i="176"/>
  <c r="DT51" i="176"/>
  <c r="DS51" i="176"/>
  <c r="DQ51" i="176"/>
  <c r="DP51" i="176"/>
  <c r="DN51" i="176"/>
  <c r="CN51" i="176"/>
  <c r="CI51" i="176"/>
  <c r="CH51" i="176"/>
  <c r="CG51" i="176"/>
  <c r="CF51" i="176"/>
  <c r="CE51" i="176"/>
  <c r="CD51" i="176"/>
  <c r="CB51" i="176"/>
  <c r="BY51" i="176"/>
  <c r="BX51" i="176"/>
  <c r="BV51" i="176"/>
  <c r="BU51" i="176"/>
  <c r="BT51" i="176"/>
  <c r="BS51" i="176"/>
  <c r="BP51" i="176"/>
  <c r="AV51" i="176" s="1"/>
  <c r="AS51" i="176"/>
  <c r="Y51" i="176"/>
  <c r="EB50" i="176"/>
  <c r="EA50" i="176"/>
  <c r="DZ50" i="176"/>
  <c r="DY50" i="176"/>
  <c r="DX50" i="176"/>
  <c r="DW50" i="176"/>
  <c r="DV50" i="176"/>
  <c r="DT50" i="176"/>
  <c r="DS50" i="176"/>
  <c r="DQ50" i="176"/>
  <c r="DP50" i="176"/>
  <c r="DN50" i="176"/>
  <c r="DH50" i="176"/>
  <c r="DC50" i="176"/>
  <c r="CI50" i="176"/>
  <c r="CH50" i="176"/>
  <c r="CF50" i="176"/>
  <c r="CE50" i="176"/>
  <c r="CD50" i="176"/>
  <c r="CB50" i="176"/>
  <c r="BY50" i="176"/>
  <c r="BX50" i="176"/>
  <c r="BV50" i="176"/>
  <c r="BU50" i="176"/>
  <c r="BT50" i="176"/>
  <c r="BS50" i="176"/>
  <c r="BP50" i="176"/>
  <c r="AV50" i="176"/>
  <c r="AS50" i="176"/>
  <c r="AN50" i="176"/>
  <c r="ED49" i="176"/>
  <c r="EB49" i="176"/>
  <c r="EA49" i="176"/>
  <c r="DZ49" i="176"/>
  <c r="DY49" i="176"/>
  <c r="DX49" i="176"/>
  <c r="DW49" i="176"/>
  <c r="DV49" i="176"/>
  <c r="DT49" i="176"/>
  <c r="DS49" i="176"/>
  <c r="DQ49" i="176"/>
  <c r="DP49" i="176"/>
  <c r="DN49" i="176"/>
  <c r="CQ49" i="176"/>
  <c r="DM49" i="176" s="1"/>
  <c r="CP49" i="176"/>
  <c r="CN49" i="176"/>
  <c r="CL49" i="176"/>
  <c r="CI49" i="176"/>
  <c r="CG49" i="176"/>
  <c r="CF49" i="176"/>
  <c r="CE49" i="176"/>
  <c r="CD49" i="176"/>
  <c r="CB49" i="176"/>
  <c r="BY49" i="176"/>
  <c r="BX49" i="176"/>
  <c r="BV49" i="176"/>
  <c r="BU49" i="176"/>
  <c r="BS49" i="176"/>
  <c r="BL49" i="176"/>
  <c r="CH49" i="176" s="1"/>
  <c r="AY49" i="176"/>
  <c r="AA49" i="176"/>
  <c r="BT49" i="176" s="1"/>
  <c r="H49" i="176"/>
  <c r="ED48" i="176"/>
  <c r="EB48" i="176"/>
  <c r="EA48" i="176"/>
  <c r="DZ48" i="176"/>
  <c r="DW48" i="176"/>
  <c r="DV48" i="176"/>
  <c r="DT48" i="176"/>
  <c r="DP48" i="176"/>
  <c r="DN48" i="176"/>
  <c r="DM48" i="176"/>
  <c r="DD48" i="176"/>
  <c r="DC48" i="176"/>
  <c r="DY48" i="176" s="1"/>
  <c r="DB48" i="176"/>
  <c r="CW48" i="176"/>
  <c r="CV48" i="176"/>
  <c r="CU48" i="176"/>
  <c r="CT48" i="176"/>
  <c r="CP48" i="176"/>
  <c r="CL48" i="176"/>
  <c r="CI48" i="176"/>
  <c r="CE48" i="176"/>
  <c r="CD48" i="176"/>
  <c r="CC48" i="176"/>
  <c r="CB48" i="176"/>
  <c r="BZ48" i="176"/>
  <c r="BV48" i="176"/>
  <c r="BU48" i="176"/>
  <c r="BS48" i="176"/>
  <c r="BL48" i="176"/>
  <c r="BK48" i="176"/>
  <c r="BJ48" i="176"/>
  <c r="BE48" i="176"/>
  <c r="BD48" i="176"/>
  <c r="BD201" i="176" s="1"/>
  <c r="BC48" i="176"/>
  <c r="BB48" i="176"/>
  <c r="AX48" i="176"/>
  <c r="AO48" i="176"/>
  <c r="AN48" i="176"/>
  <c r="AM48" i="176"/>
  <c r="CF48" i="176" s="1"/>
  <c r="AF48" i="176"/>
  <c r="BY48" i="176" s="1"/>
  <c r="AE48" i="176"/>
  <c r="AA48" i="176"/>
  <c r="ED47" i="176"/>
  <c r="EB47" i="176"/>
  <c r="EA47" i="176"/>
  <c r="DZ47" i="176"/>
  <c r="DY47" i="176"/>
  <c r="DW47" i="176"/>
  <c r="DV47" i="176"/>
  <c r="DT47" i="176"/>
  <c r="DS47" i="176"/>
  <c r="DQ47" i="176"/>
  <c r="DP47" i="176"/>
  <c r="DN47" i="176"/>
  <c r="DB47" i="176"/>
  <c r="CQ47" i="176"/>
  <c r="CN47" i="176" s="1"/>
  <c r="H47" i="176" s="1"/>
  <c r="CL47" i="176"/>
  <c r="CI47" i="176"/>
  <c r="CH47" i="176"/>
  <c r="CG47" i="176"/>
  <c r="CE47" i="176"/>
  <c r="CD47" i="176"/>
  <c r="CC47" i="176"/>
  <c r="CB47" i="176"/>
  <c r="CA47" i="176"/>
  <c r="BY47" i="176"/>
  <c r="BX47" i="176"/>
  <c r="BV47" i="176"/>
  <c r="BU47" i="176"/>
  <c r="BS47" i="176"/>
  <c r="BJ47" i="176"/>
  <c r="AV47" i="176" s="1"/>
  <c r="AY47" i="176"/>
  <c r="AY201" i="176" s="1"/>
  <c r="AM47" i="176"/>
  <c r="AM67" i="176" s="1"/>
  <c r="AA47" i="176"/>
  <c r="DL47" i="176" s="1"/>
  <c r="EB46" i="176"/>
  <c r="EA46" i="176"/>
  <c r="DZ46" i="176"/>
  <c r="DY46" i="176"/>
  <c r="DX46" i="176"/>
  <c r="DW46" i="176"/>
  <c r="DV46" i="176"/>
  <c r="DT46" i="176"/>
  <c r="DS46" i="176"/>
  <c r="DQ46" i="176"/>
  <c r="DP46" i="176"/>
  <c r="DN46" i="176"/>
  <c r="DH46" i="176"/>
  <c r="CN46" i="176" s="1"/>
  <c r="H46" i="176" s="1"/>
  <c r="CL46" i="176"/>
  <c r="CI46" i="176"/>
  <c r="CH46" i="176"/>
  <c r="CG46" i="176"/>
  <c r="CF46" i="176"/>
  <c r="CE46" i="176"/>
  <c r="CD46" i="176"/>
  <c r="CC46" i="176"/>
  <c r="CB46" i="176"/>
  <c r="CA46" i="176"/>
  <c r="BY46" i="176"/>
  <c r="BX46" i="176"/>
  <c r="BV46" i="176"/>
  <c r="BU46" i="176"/>
  <c r="BS46" i="176"/>
  <c r="BP46" i="176"/>
  <c r="AV46" i="176"/>
  <c r="AS46" i="176"/>
  <c r="ED45" i="176"/>
  <c r="EB45" i="176"/>
  <c r="EA45" i="176"/>
  <c r="DY45" i="176"/>
  <c r="DX45" i="176"/>
  <c r="DW45" i="176"/>
  <c r="DV45" i="176"/>
  <c r="DT45" i="176"/>
  <c r="DS45" i="176"/>
  <c r="DP45" i="176"/>
  <c r="DN45" i="176"/>
  <c r="DM45" i="176"/>
  <c r="DD45" i="176"/>
  <c r="DZ45" i="176" s="1"/>
  <c r="CU45" i="176"/>
  <c r="DQ45" i="176" s="1"/>
  <c r="CP45" i="176"/>
  <c r="CL45" i="176"/>
  <c r="CI45" i="176"/>
  <c r="CG45" i="176"/>
  <c r="CF45" i="176"/>
  <c r="CE45" i="176"/>
  <c r="CD45" i="176"/>
  <c r="CC45" i="176"/>
  <c r="CB45" i="176"/>
  <c r="CA45" i="176"/>
  <c r="BX45" i="176"/>
  <c r="BV45" i="176"/>
  <c r="BU45" i="176"/>
  <c r="BT45" i="176"/>
  <c r="BS45" i="176"/>
  <c r="BL45" i="176"/>
  <c r="CH45" i="176" s="1"/>
  <c r="BC45" i="176"/>
  <c r="AX45" i="176"/>
  <c r="AF45" i="176"/>
  <c r="AA45" i="176"/>
  <c r="ED44" i="176"/>
  <c r="EB44" i="176"/>
  <c r="EA44" i="176"/>
  <c r="DY44" i="176"/>
  <c r="DX44" i="176"/>
  <c r="DW44" i="176"/>
  <c r="DV44" i="176"/>
  <c r="DT44" i="176"/>
  <c r="DS44" i="176"/>
  <c r="DP44" i="176"/>
  <c r="DN44" i="176"/>
  <c r="DM44" i="176"/>
  <c r="DD44" i="176"/>
  <c r="DZ44" i="176" s="1"/>
  <c r="CU44" i="176"/>
  <c r="CP44" i="176"/>
  <c r="CL44" i="176"/>
  <c r="CI44" i="176"/>
  <c r="CG44" i="176"/>
  <c r="CF44" i="176"/>
  <c r="CE44" i="176"/>
  <c r="CD44" i="176"/>
  <c r="CC44" i="176"/>
  <c r="CB44" i="176"/>
  <c r="CA44" i="176"/>
  <c r="BX44" i="176"/>
  <c r="BV44" i="176"/>
  <c r="BU44" i="176"/>
  <c r="BS44" i="176"/>
  <c r="BL44" i="176"/>
  <c r="CH44" i="176" s="1"/>
  <c r="BC44" i="176"/>
  <c r="AX44" i="176"/>
  <c r="AF44" i="176"/>
  <c r="AA44" i="176"/>
  <c r="Y44" i="176"/>
  <c r="ED43" i="176"/>
  <c r="EB43" i="176"/>
  <c r="EA43" i="176"/>
  <c r="DZ43" i="176"/>
  <c r="DY43" i="176"/>
  <c r="DX43" i="176"/>
  <c r="DW43" i="176"/>
  <c r="DV43" i="176"/>
  <c r="DT43" i="176"/>
  <c r="DS43" i="176"/>
  <c r="DQ43" i="176"/>
  <c r="CT43" i="176"/>
  <c r="CL43" i="176"/>
  <c r="CI43" i="176"/>
  <c r="CH43" i="176"/>
  <c r="CG43" i="176"/>
  <c r="CF43" i="176"/>
  <c r="CE43" i="176"/>
  <c r="CD43" i="176"/>
  <c r="BY43" i="176"/>
  <c r="BV43" i="176"/>
  <c r="BU43" i="176"/>
  <c r="BS43" i="176"/>
  <c r="BB43" i="176"/>
  <c r="AV43" i="176" s="1"/>
  <c r="AE43" i="176"/>
  <c r="Y43" i="176"/>
  <c r="ED42" i="176"/>
  <c r="EB42" i="176"/>
  <c r="EA42" i="176"/>
  <c r="DZ42" i="176"/>
  <c r="DY42" i="176"/>
  <c r="DX42" i="176"/>
  <c r="DW42" i="176"/>
  <c r="DV42" i="176"/>
  <c r="DT42" i="176"/>
  <c r="DS42" i="176"/>
  <c r="DQ42" i="176"/>
  <c r="CT42" i="176"/>
  <c r="CN42" i="176" s="1"/>
  <c r="CL42" i="176"/>
  <c r="CI42" i="176"/>
  <c r="CH42" i="176"/>
  <c r="CG42" i="176"/>
  <c r="CF42" i="176"/>
  <c r="CE42" i="176"/>
  <c r="CD42" i="176"/>
  <c r="CC42" i="176"/>
  <c r="CB42" i="176"/>
  <c r="CA42" i="176"/>
  <c r="BY42" i="176"/>
  <c r="BV42" i="176"/>
  <c r="BU42" i="176"/>
  <c r="BS42" i="176"/>
  <c r="BB42" i="176"/>
  <c r="AV42" i="176" s="1"/>
  <c r="AE42" i="176"/>
  <c r="DP42" i="176" s="1"/>
  <c r="Y42" i="176"/>
  <c r="ED41" i="176"/>
  <c r="EB41" i="176"/>
  <c r="EA41" i="176"/>
  <c r="DZ41" i="176"/>
  <c r="DY41" i="176"/>
  <c r="DX41" i="176"/>
  <c r="DW41" i="176"/>
  <c r="DV41" i="176"/>
  <c r="DT41" i="176"/>
  <c r="DS41" i="176"/>
  <c r="DQ41" i="176"/>
  <c r="CT41" i="176"/>
  <c r="CN41" i="176" s="1"/>
  <c r="CL41" i="176"/>
  <c r="CI41" i="176"/>
  <c r="CH41" i="176"/>
  <c r="CG41" i="176"/>
  <c r="CF41" i="176"/>
  <c r="CE41" i="176"/>
  <c r="CD41" i="176"/>
  <c r="CC41" i="176"/>
  <c r="CB41" i="176"/>
  <c r="CA41" i="176"/>
  <c r="BY41" i="176"/>
  <c r="BV41" i="176"/>
  <c r="BU41" i="176"/>
  <c r="BS41" i="176"/>
  <c r="BB41" i="176"/>
  <c r="AV41" i="176" s="1"/>
  <c r="AE41" i="176"/>
  <c r="ED40" i="176"/>
  <c r="EB40" i="176"/>
  <c r="EA40" i="176"/>
  <c r="DZ40" i="176"/>
  <c r="DY40" i="176"/>
  <c r="DX40" i="176"/>
  <c r="DW40" i="176"/>
  <c r="DV40" i="176"/>
  <c r="DT40" i="176"/>
  <c r="DS40" i="176"/>
  <c r="DQ40" i="176"/>
  <c r="CT40" i="176"/>
  <c r="CL40" i="176"/>
  <c r="CI40" i="176"/>
  <c r="CH40" i="176"/>
  <c r="CG40" i="176"/>
  <c r="CF40" i="176"/>
  <c r="CE40" i="176"/>
  <c r="CD40" i="176"/>
  <c r="CC40" i="176"/>
  <c r="CB40" i="176"/>
  <c r="CA40" i="176"/>
  <c r="BY40" i="176"/>
  <c r="BV40" i="176"/>
  <c r="BU40" i="176"/>
  <c r="BS40" i="176"/>
  <c r="BB40" i="176"/>
  <c r="AV40" i="176" s="1"/>
  <c r="Y40" i="176"/>
  <c r="ED39" i="176"/>
  <c r="EA39" i="176"/>
  <c r="DZ39" i="176"/>
  <c r="DX39" i="176"/>
  <c r="DW39" i="176"/>
  <c r="DV39" i="176"/>
  <c r="DT39" i="176"/>
  <c r="DS39" i="176"/>
  <c r="DQ39" i="176"/>
  <c r="DF39" i="176"/>
  <c r="DC39" i="176"/>
  <c r="CT39" i="176"/>
  <c r="CL39" i="176"/>
  <c r="CI39" i="176"/>
  <c r="CH39" i="176"/>
  <c r="CF39" i="176"/>
  <c r="CE39" i="176"/>
  <c r="CD39" i="176"/>
  <c r="CC39" i="176"/>
  <c r="CB39" i="176"/>
  <c r="CA39" i="176"/>
  <c r="BY39" i="176"/>
  <c r="BV39" i="176"/>
  <c r="BU39" i="176"/>
  <c r="BS39" i="176"/>
  <c r="BN39" i="176"/>
  <c r="BN201" i="176" s="1"/>
  <c r="BK39" i="176"/>
  <c r="CG39" i="176" s="1"/>
  <c r="BB39" i="176"/>
  <c r="AV39" i="176" s="1"/>
  <c r="AU39" i="176" s="1"/>
  <c r="BQ39" i="176" s="1"/>
  <c r="AN39" i="176"/>
  <c r="Y39" i="176"/>
  <c r="ED38" i="176"/>
  <c r="EB38" i="176"/>
  <c r="EA38" i="176"/>
  <c r="DZ38" i="176"/>
  <c r="DY38" i="176"/>
  <c r="DX38" i="176"/>
  <c r="DW38" i="176"/>
  <c r="DV38" i="176"/>
  <c r="DT38" i="176"/>
  <c r="DS38" i="176"/>
  <c r="DQ38" i="176"/>
  <c r="CN38" i="176"/>
  <c r="H38" i="176" s="1"/>
  <c r="CL38" i="176"/>
  <c r="CI38" i="176"/>
  <c r="CH38" i="176"/>
  <c r="CG38" i="176"/>
  <c r="CF38" i="176"/>
  <c r="CE38" i="176"/>
  <c r="CD38" i="176"/>
  <c r="CC38" i="176"/>
  <c r="CB38" i="176"/>
  <c r="CA38" i="176"/>
  <c r="BY38" i="176"/>
  <c r="BV38" i="176"/>
  <c r="BU38" i="176"/>
  <c r="BS38" i="176"/>
  <c r="AV38" i="176"/>
  <c r="AE38" i="176"/>
  <c r="ED37" i="176"/>
  <c r="EB37" i="176"/>
  <c r="EA37" i="176"/>
  <c r="DY37" i="176"/>
  <c r="DX37" i="176"/>
  <c r="DW37" i="176"/>
  <c r="DV37" i="176"/>
  <c r="DT37" i="176"/>
  <c r="DS37" i="176"/>
  <c r="DQ37" i="176"/>
  <c r="DN37" i="176"/>
  <c r="DM37" i="176"/>
  <c r="DD37" i="176"/>
  <c r="CT37" i="176"/>
  <c r="DP37" i="176" s="1"/>
  <c r="CP37" i="176"/>
  <c r="CN37" i="176" s="1"/>
  <c r="CL37" i="176"/>
  <c r="CI37" i="176"/>
  <c r="CG37" i="176"/>
  <c r="CF37" i="176"/>
  <c r="CE37" i="176"/>
  <c r="CD37" i="176"/>
  <c r="CB37" i="176"/>
  <c r="BY37" i="176"/>
  <c r="BV37" i="176"/>
  <c r="BU37" i="176"/>
  <c r="BS37" i="176"/>
  <c r="BL37" i="176"/>
  <c r="CH37" i="176" s="1"/>
  <c r="BB37" i="176"/>
  <c r="BX37" i="176" s="1"/>
  <c r="AX37" i="176"/>
  <c r="AX67" i="176" s="1"/>
  <c r="AO37" i="176"/>
  <c r="AA37" i="176"/>
  <c r="ED36" i="176"/>
  <c r="EB36" i="176"/>
  <c r="EA36" i="176"/>
  <c r="DZ36" i="176"/>
  <c r="DY36" i="176"/>
  <c r="DX36" i="176"/>
  <c r="DW36" i="176"/>
  <c r="DV36" i="176"/>
  <c r="DT36" i="176"/>
  <c r="DS36" i="176"/>
  <c r="DQ36" i="176"/>
  <c r="DP36" i="176"/>
  <c r="DN36" i="176"/>
  <c r="DM36" i="176"/>
  <c r="CP36" i="176"/>
  <c r="CL36" i="176"/>
  <c r="CI36" i="176"/>
  <c r="CH36" i="176"/>
  <c r="CG36" i="176"/>
  <c r="CF36" i="176"/>
  <c r="CE36" i="176"/>
  <c r="CD36" i="176"/>
  <c r="CB36" i="176"/>
  <c r="BY36" i="176"/>
  <c r="BX36" i="176"/>
  <c r="BV36" i="176"/>
  <c r="BU36" i="176"/>
  <c r="BS36" i="176"/>
  <c r="AV36" i="176"/>
  <c r="AA36" i="176"/>
  <c r="Y36" i="176" s="1"/>
  <c r="ED35" i="176"/>
  <c r="EB35" i="176"/>
  <c r="EA35" i="176"/>
  <c r="DZ35" i="176"/>
  <c r="DY35" i="176"/>
  <c r="DX35" i="176"/>
  <c r="DW35" i="176"/>
  <c r="DV35" i="176"/>
  <c r="DT35" i="176"/>
  <c r="DS35" i="176"/>
  <c r="DM35" i="176"/>
  <c r="DL35" i="176"/>
  <c r="CT35" i="176"/>
  <c r="CN35" i="176" s="1"/>
  <c r="H35" i="176" s="1"/>
  <c r="CR35" i="176"/>
  <c r="CQ35" i="176"/>
  <c r="CL35" i="176"/>
  <c r="CI35" i="176"/>
  <c r="CH35" i="176"/>
  <c r="CG35" i="176"/>
  <c r="CF35" i="176"/>
  <c r="CE35" i="176"/>
  <c r="CD35" i="176"/>
  <c r="CB35" i="176"/>
  <c r="BU35" i="176"/>
  <c r="BS35" i="176"/>
  <c r="BB35" i="176"/>
  <c r="AZ35" i="176"/>
  <c r="AZ201" i="176" s="1"/>
  <c r="AF35" i="176"/>
  <c r="AE35" i="176"/>
  <c r="AC35" i="176"/>
  <c r="AA35" i="176"/>
  <c r="EC34" i="176"/>
  <c r="DU34" i="176"/>
  <c r="DR34" i="176"/>
  <c r="DG34" i="176"/>
  <c r="DF34" i="176"/>
  <c r="DE34" i="176"/>
  <c r="DA34" i="176"/>
  <c r="CZ34" i="176"/>
  <c r="CY34" i="176"/>
  <c r="CX34" i="176"/>
  <c r="CW34" i="176"/>
  <c r="CV34" i="176"/>
  <c r="CS34" i="176"/>
  <c r="CR34" i="176"/>
  <c r="CP34" i="176"/>
  <c r="CO34" i="176"/>
  <c r="BZ34" i="176"/>
  <c r="BW34" i="176"/>
  <c r="BU34" i="176"/>
  <c r="BO34" i="176"/>
  <c r="BN34" i="176"/>
  <c r="BM34" i="176"/>
  <c r="BL34" i="176"/>
  <c r="BI34" i="176"/>
  <c r="BH34" i="176"/>
  <c r="BG34" i="176"/>
  <c r="BF34" i="176"/>
  <c r="BF196" i="176" s="1"/>
  <c r="BE34" i="176"/>
  <c r="BD34" i="176"/>
  <c r="BA34" i="176"/>
  <c r="AZ34" i="176"/>
  <c r="AX34" i="176"/>
  <c r="AW34" i="176"/>
  <c r="AR34" i="176"/>
  <c r="AQ34" i="176"/>
  <c r="AP34" i="176"/>
  <c r="AO34" i="176"/>
  <c r="AL34" i="176"/>
  <c r="AK34" i="176"/>
  <c r="AJ34" i="176"/>
  <c r="AI34" i="176"/>
  <c r="AH34" i="176"/>
  <c r="AG34" i="176"/>
  <c r="AD34" i="176"/>
  <c r="AC34" i="176"/>
  <c r="AB34" i="176"/>
  <c r="Z34" i="176"/>
  <c r="G34" i="176"/>
  <c r="ED33" i="176"/>
  <c r="EB33" i="176"/>
  <c r="EA33" i="176"/>
  <c r="DZ33" i="176"/>
  <c r="DY33" i="176"/>
  <c r="DW33" i="176"/>
  <c r="DV33" i="176"/>
  <c r="DT33" i="176"/>
  <c r="DS33" i="176"/>
  <c r="DQ33" i="176"/>
  <c r="DP33" i="176"/>
  <c r="DN33" i="176"/>
  <c r="DL33" i="176"/>
  <c r="DK33" i="176"/>
  <c r="DB33" i="176"/>
  <c r="CN33" i="176" s="1"/>
  <c r="CL33" i="176"/>
  <c r="CI33" i="176"/>
  <c r="CH33" i="176"/>
  <c r="CG33" i="176"/>
  <c r="CE33" i="176"/>
  <c r="CD33" i="176"/>
  <c r="BY33" i="176"/>
  <c r="BX33" i="176"/>
  <c r="BV33" i="176"/>
  <c r="BT33" i="176"/>
  <c r="BS33" i="176"/>
  <c r="BP33" i="176"/>
  <c r="BJ33" i="176"/>
  <c r="CF33" i="176" s="1"/>
  <c r="Y33" i="176"/>
  <c r="ED32" i="176"/>
  <c r="EB32" i="176"/>
  <c r="EA32" i="176"/>
  <c r="DZ32" i="176"/>
  <c r="DX32" i="176"/>
  <c r="DW32" i="176"/>
  <c r="DV32" i="176"/>
  <c r="DT32" i="176"/>
  <c r="DS32" i="176"/>
  <c r="DQ32" i="176"/>
  <c r="DP32" i="176"/>
  <c r="DO32" i="176"/>
  <c r="DN32" i="176"/>
  <c r="DL32" i="176"/>
  <c r="DK32" i="176"/>
  <c r="DB32" i="176"/>
  <c r="DC32" i="176" s="1"/>
  <c r="DY32" i="176" s="1"/>
  <c r="CL32" i="176"/>
  <c r="CI32" i="176"/>
  <c r="CH32" i="176"/>
  <c r="CE32" i="176"/>
  <c r="CD32" i="176"/>
  <c r="BY32" i="176"/>
  <c r="BX32" i="176"/>
  <c r="BV32" i="176"/>
  <c r="BT32" i="176"/>
  <c r="BS32" i="176"/>
  <c r="BK32" i="176"/>
  <c r="CG32" i="176" s="1"/>
  <c r="BJ32" i="176"/>
  <c r="Y32" i="176"/>
  <c r="ED31" i="176"/>
  <c r="EB31" i="176"/>
  <c r="EA31" i="176"/>
  <c r="DZ31" i="176"/>
  <c r="DY31" i="176"/>
  <c r="DW31" i="176"/>
  <c r="DV31" i="176"/>
  <c r="DT31" i="176"/>
  <c r="DS31" i="176"/>
  <c r="DQ31" i="176"/>
  <c r="DP31" i="176"/>
  <c r="DO31" i="176"/>
  <c r="DN31" i="176"/>
  <c r="DL31" i="176"/>
  <c r="DK31" i="176"/>
  <c r="DB31" i="176"/>
  <c r="DX31" i="176" s="1"/>
  <c r="CN31" i="176"/>
  <c r="CL31" i="176"/>
  <c r="CI31" i="176"/>
  <c r="CH31" i="176"/>
  <c r="CG31" i="176"/>
  <c r="CE31" i="176"/>
  <c r="CD31" i="176"/>
  <c r="BY31" i="176"/>
  <c r="BX31" i="176"/>
  <c r="BV31" i="176"/>
  <c r="BT31" i="176"/>
  <c r="BS31" i="176"/>
  <c r="BJ31" i="176"/>
  <c r="Y31" i="176"/>
  <c r="ED30" i="176"/>
  <c r="EB30" i="176"/>
  <c r="EA30" i="176"/>
  <c r="DZ30" i="176"/>
  <c r="DY30" i="176"/>
  <c r="DW30" i="176"/>
  <c r="DV30" i="176"/>
  <c r="DT30" i="176"/>
  <c r="DS30" i="176"/>
  <c r="DQ30" i="176"/>
  <c r="DP30" i="176"/>
  <c r="DO30" i="176"/>
  <c r="DN30" i="176"/>
  <c r="DL30" i="176"/>
  <c r="DK30" i="176"/>
  <c r="DB30" i="176"/>
  <c r="DX30" i="176" s="1"/>
  <c r="CN30" i="176"/>
  <c r="CM30" i="176" s="1"/>
  <c r="DI30" i="176" s="1"/>
  <c r="CL30" i="176"/>
  <c r="CI30" i="176"/>
  <c r="CH30" i="176"/>
  <c r="CG30" i="176"/>
  <c r="CE30" i="176"/>
  <c r="CD30" i="176"/>
  <c r="BY30" i="176"/>
  <c r="BX30" i="176"/>
  <c r="BV30" i="176"/>
  <c r="BT30" i="176"/>
  <c r="BS30" i="176"/>
  <c r="BJ30" i="176"/>
  <c r="Y30" i="176"/>
  <c r="ED29" i="176"/>
  <c r="EB29" i="176"/>
  <c r="EA29" i="176"/>
  <c r="DZ29" i="176"/>
  <c r="DY29" i="176"/>
  <c r="DX29" i="176"/>
  <c r="DW29" i="176"/>
  <c r="DV29" i="176"/>
  <c r="DT29" i="176"/>
  <c r="DS29" i="176"/>
  <c r="DQ29" i="176"/>
  <c r="DP29" i="176"/>
  <c r="DO29" i="176"/>
  <c r="DN29" i="176"/>
  <c r="DL29" i="176"/>
  <c r="DK29" i="176"/>
  <c r="CN29" i="176"/>
  <c r="CL29" i="176"/>
  <c r="CI29" i="176"/>
  <c r="CH29" i="176"/>
  <c r="CG29" i="176"/>
  <c r="CF29" i="176"/>
  <c r="CE29" i="176"/>
  <c r="CD29" i="176"/>
  <c r="BY29" i="176"/>
  <c r="BX29" i="176"/>
  <c r="BV29" i="176"/>
  <c r="BT29" i="176"/>
  <c r="BS29" i="176"/>
  <c r="AV29" i="176"/>
  <c r="Y29" i="176"/>
  <c r="ED28" i="176"/>
  <c r="EB28" i="176"/>
  <c r="EA28" i="176"/>
  <c r="DZ28" i="176"/>
  <c r="DY28" i="176"/>
  <c r="DW28" i="176"/>
  <c r="DV28" i="176"/>
  <c r="DT28" i="176"/>
  <c r="DS28" i="176"/>
  <c r="DQ28" i="176"/>
  <c r="DP28" i="176"/>
  <c r="DO28" i="176"/>
  <c r="DN28" i="176"/>
  <c r="DL28" i="176"/>
  <c r="DK28" i="176"/>
  <c r="CN28" i="176"/>
  <c r="H28" i="176" s="1"/>
  <c r="CL28" i="176"/>
  <c r="CI28" i="176"/>
  <c r="CH28" i="176"/>
  <c r="CG28" i="176"/>
  <c r="CF28" i="176"/>
  <c r="CE28" i="176"/>
  <c r="CD28" i="176"/>
  <c r="BY28" i="176"/>
  <c r="BX28" i="176"/>
  <c r="BV28" i="176"/>
  <c r="BT28" i="176"/>
  <c r="BS28" i="176"/>
  <c r="BR28" i="176" s="1"/>
  <c r="AV28" i="176"/>
  <c r="AM28" i="176"/>
  <c r="DX28" i="176" s="1"/>
  <c r="ED27" i="176"/>
  <c r="EB27" i="176"/>
  <c r="EA27" i="176"/>
  <c r="DZ27" i="176"/>
  <c r="DY27" i="176"/>
  <c r="DW27" i="176"/>
  <c r="DV27" i="176"/>
  <c r="DT27" i="176"/>
  <c r="DS27" i="176"/>
  <c r="DQ27" i="176"/>
  <c r="DP27" i="176"/>
  <c r="DO27" i="176"/>
  <c r="DN27" i="176"/>
  <c r="DL27" i="176"/>
  <c r="DK27" i="176"/>
  <c r="CN27" i="176"/>
  <c r="H27" i="176" s="1"/>
  <c r="CL27" i="176"/>
  <c r="CI27" i="176"/>
  <c r="CH27" i="176"/>
  <c r="CG27" i="176"/>
  <c r="CE27" i="176"/>
  <c r="CD27" i="176"/>
  <c r="BY27" i="176"/>
  <c r="BX27" i="176"/>
  <c r="BV27" i="176"/>
  <c r="BT27" i="176"/>
  <c r="BS27" i="176"/>
  <c r="AV27" i="176"/>
  <c r="AM27" i="176"/>
  <c r="Y27" i="176"/>
  <c r="ED26" i="176"/>
  <c r="EB26" i="176"/>
  <c r="EA26" i="176"/>
  <c r="DZ26" i="176"/>
  <c r="DY26" i="176"/>
  <c r="DX26" i="176"/>
  <c r="DW26" i="176"/>
  <c r="DV26" i="176"/>
  <c r="DT26" i="176"/>
  <c r="DS26" i="176"/>
  <c r="DQ26" i="176"/>
  <c r="DP26" i="176"/>
  <c r="DO26" i="176"/>
  <c r="DN26" i="176"/>
  <c r="DL26" i="176"/>
  <c r="DK26" i="176"/>
  <c r="CN26" i="176"/>
  <c r="CL26" i="176"/>
  <c r="CI26" i="176"/>
  <c r="CH26" i="176"/>
  <c r="CG26" i="176"/>
  <c r="CF26" i="176"/>
  <c r="CE26" i="176"/>
  <c r="CD26" i="176"/>
  <c r="BY26" i="176"/>
  <c r="BX26" i="176"/>
  <c r="BV26" i="176"/>
  <c r="BT26" i="176"/>
  <c r="BS26" i="176"/>
  <c r="AV26" i="176"/>
  <c r="Y26" i="176"/>
  <c r="H26" i="176"/>
  <c r="ED25" i="176"/>
  <c r="EB25" i="176"/>
  <c r="EA25" i="176"/>
  <c r="DZ25" i="176"/>
  <c r="DY25" i="176"/>
  <c r="DX25" i="176"/>
  <c r="DW25" i="176"/>
  <c r="DV25" i="176"/>
  <c r="DT25" i="176"/>
  <c r="DS25" i="176"/>
  <c r="DQ25" i="176"/>
  <c r="DO25" i="176"/>
  <c r="DN25" i="176"/>
  <c r="DL25" i="176"/>
  <c r="DK25" i="176"/>
  <c r="DC25" i="176"/>
  <c r="CT25" i="176" s="1"/>
  <c r="DP25" i="176" s="1"/>
  <c r="CL25" i="176"/>
  <c r="CI25" i="176"/>
  <c r="CH25" i="176"/>
  <c r="CF25" i="176"/>
  <c r="CE25" i="176"/>
  <c r="CD25" i="176"/>
  <c r="BY25" i="176"/>
  <c r="BV25" i="176"/>
  <c r="BT25" i="176"/>
  <c r="BS25" i="176"/>
  <c r="BK25" i="176"/>
  <c r="CG25" i="176" s="1"/>
  <c r="BB25" i="176"/>
  <c r="AV25" i="176" s="1"/>
  <c r="Y25" i="176"/>
  <c r="ED24" i="176"/>
  <c r="EB24" i="176"/>
  <c r="EA24" i="176"/>
  <c r="DZ24" i="176"/>
  <c r="DY24" i="176"/>
  <c r="DX24" i="176"/>
  <c r="DW24" i="176"/>
  <c r="DV24" i="176"/>
  <c r="DT24" i="176"/>
  <c r="DS24" i="176"/>
  <c r="DQ24" i="176"/>
  <c r="DO24" i="176"/>
  <c r="DN24" i="176"/>
  <c r="DL24" i="176"/>
  <c r="DK24" i="176"/>
  <c r="CT24" i="176"/>
  <c r="CL24" i="176"/>
  <c r="CK24" i="176"/>
  <c r="CJ24" i="176"/>
  <c r="CI24" i="176"/>
  <c r="CH24" i="176"/>
  <c r="CG24" i="176"/>
  <c r="CF24" i="176"/>
  <c r="CE24" i="176"/>
  <c r="CD24" i="176"/>
  <c r="CC24" i="176"/>
  <c r="CB24" i="176"/>
  <c r="CA24" i="176"/>
  <c r="BY24" i="176"/>
  <c r="BX24" i="176"/>
  <c r="BV24" i="176"/>
  <c r="BT24" i="176"/>
  <c r="BS24" i="176"/>
  <c r="BB24" i="176"/>
  <c r="AV24" i="176" s="1"/>
  <c r="Y24" i="176"/>
  <c r="ED23" i="176"/>
  <c r="EB23" i="176"/>
  <c r="EA23" i="176"/>
  <c r="DX23" i="176"/>
  <c r="DW23" i="176"/>
  <c r="DV23" i="176"/>
  <c r="DT23" i="176"/>
  <c r="DS23" i="176"/>
  <c r="DQ23" i="176"/>
  <c r="DP23" i="176"/>
  <c r="DO23" i="176"/>
  <c r="DN23" i="176"/>
  <c r="DL23" i="176"/>
  <c r="DK23" i="176"/>
  <c r="DD23" i="176"/>
  <c r="DZ23" i="176" s="1"/>
  <c r="DC23" i="176"/>
  <c r="CL23" i="176"/>
  <c r="CI23" i="176"/>
  <c r="CH23" i="176"/>
  <c r="CF23" i="176"/>
  <c r="CE23" i="176"/>
  <c r="CD23" i="176"/>
  <c r="BY23" i="176"/>
  <c r="BX23" i="176"/>
  <c r="BV23" i="176"/>
  <c r="BT23" i="176"/>
  <c r="BS23" i="176"/>
  <c r="BL23" i="176"/>
  <c r="BK23" i="176"/>
  <c r="AN23" i="176"/>
  <c r="ED22" i="176"/>
  <c r="EB22" i="176"/>
  <c r="EA22" i="176"/>
  <c r="DY22" i="176"/>
  <c r="DX22" i="176"/>
  <c r="DW22" i="176"/>
  <c r="DV22" i="176"/>
  <c r="DT22" i="176"/>
  <c r="DS22" i="176"/>
  <c r="DQ22" i="176"/>
  <c r="DP22" i="176"/>
  <c r="DO22" i="176"/>
  <c r="DN22" i="176"/>
  <c r="DL22" i="176"/>
  <c r="DK22" i="176"/>
  <c r="DH22" i="176"/>
  <c r="DD22" i="176"/>
  <c r="CI22" i="176"/>
  <c r="CH22" i="176"/>
  <c r="CG22" i="176"/>
  <c r="CF22" i="176"/>
  <c r="CE22" i="176"/>
  <c r="CD22" i="176"/>
  <c r="BY22" i="176"/>
  <c r="BX22" i="176"/>
  <c r="BV22" i="176"/>
  <c r="BT22" i="176"/>
  <c r="BS22" i="176"/>
  <c r="BP22" i="176"/>
  <c r="BL22" i="176"/>
  <c r="AS22" i="176"/>
  <c r="CL22" i="176" s="1"/>
  <c r="ED21" i="176"/>
  <c r="EB21" i="176"/>
  <c r="EA21" i="176"/>
  <c r="DZ21" i="176"/>
  <c r="DY21" i="176"/>
  <c r="DX21" i="176"/>
  <c r="DW21" i="176"/>
  <c r="DV21" i="176"/>
  <c r="DT21" i="176"/>
  <c r="DS21" i="176"/>
  <c r="DP21" i="176"/>
  <c r="DO21" i="176"/>
  <c r="DN21" i="176"/>
  <c r="DK21" i="176"/>
  <c r="CN21" i="176"/>
  <c r="H21" i="176" s="1"/>
  <c r="CL21" i="176"/>
  <c r="CI21" i="176"/>
  <c r="CH21" i="176"/>
  <c r="CG21" i="176"/>
  <c r="CF21" i="176"/>
  <c r="CE21" i="176"/>
  <c r="CD21" i="176"/>
  <c r="BY21" i="176"/>
  <c r="BX21" i="176"/>
  <c r="BV21" i="176"/>
  <c r="BS21" i="176"/>
  <c r="AV21" i="176"/>
  <c r="AF21" i="176"/>
  <c r="DQ21" i="176" s="1"/>
  <c r="AA21" i="176"/>
  <c r="ED20" i="176"/>
  <c r="EB20" i="176"/>
  <c r="EA20" i="176"/>
  <c r="DZ20" i="176"/>
  <c r="DY20" i="176"/>
  <c r="DX20" i="176"/>
  <c r="DW20" i="176"/>
  <c r="DV20" i="176"/>
  <c r="DT20" i="176"/>
  <c r="DS20" i="176"/>
  <c r="DP20" i="176"/>
  <c r="DO20" i="176"/>
  <c r="DN20" i="176"/>
  <c r="DL20" i="176"/>
  <c r="DK20" i="176"/>
  <c r="CN20" i="176"/>
  <c r="H20" i="176" s="1"/>
  <c r="CL20" i="176"/>
  <c r="CI20" i="176"/>
  <c r="CH20" i="176"/>
  <c r="CF20" i="176"/>
  <c r="CE20" i="176"/>
  <c r="CD20" i="176"/>
  <c r="BX20" i="176"/>
  <c r="BV20" i="176"/>
  <c r="BT20" i="176"/>
  <c r="BS20" i="176"/>
  <c r="AV20" i="176"/>
  <c r="AN20" i="176"/>
  <c r="CG20" i="176" s="1"/>
  <c r="AF20" i="176"/>
  <c r="ED19" i="176"/>
  <c r="EB19" i="176"/>
  <c r="EA19" i="176"/>
  <c r="DZ19" i="176"/>
  <c r="DX19" i="176"/>
  <c r="DW19" i="176"/>
  <c r="DV19" i="176"/>
  <c r="DT19" i="176"/>
  <c r="DS19" i="176"/>
  <c r="DQ19" i="176"/>
  <c r="DP19" i="176"/>
  <c r="DO19" i="176"/>
  <c r="DN19" i="176"/>
  <c r="DL19" i="176"/>
  <c r="DK19" i="176"/>
  <c r="CU19" i="176"/>
  <c r="CN19" i="176" s="1"/>
  <c r="CL19" i="176"/>
  <c r="CI19" i="176"/>
  <c r="CH19" i="176"/>
  <c r="CF19" i="176"/>
  <c r="CE19" i="176"/>
  <c r="CD19" i="176"/>
  <c r="BX19" i="176"/>
  <c r="BV19" i="176"/>
  <c r="BT19" i="176"/>
  <c r="BS19" i="176"/>
  <c r="BC19" i="176"/>
  <c r="AV19" i="176" s="1"/>
  <c r="AN19" i="176"/>
  <c r="AF19" i="176"/>
  <c r="BY19" i="176" s="1"/>
  <c r="AA19" i="176"/>
  <c r="EB18" i="176"/>
  <c r="EA18" i="176"/>
  <c r="DZ18" i="176"/>
  <c r="DY18" i="176"/>
  <c r="DX18" i="176"/>
  <c r="DW18" i="176"/>
  <c r="DV18" i="176"/>
  <c r="DT18" i="176"/>
  <c r="DS18" i="176"/>
  <c r="DO18" i="176"/>
  <c r="DN18" i="176"/>
  <c r="DL18" i="176"/>
  <c r="DK18" i="176"/>
  <c r="CT18" i="176"/>
  <c r="CI18" i="176"/>
  <c r="CH18" i="176"/>
  <c r="CG18" i="176"/>
  <c r="CF18" i="176"/>
  <c r="CE18" i="176"/>
  <c r="CD18" i="176"/>
  <c r="CC18" i="176"/>
  <c r="CB18" i="176"/>
  <c r="CA18" i="176"/>
  <c r="BV18" i="176"/>
  <c r="BT18" i="176"/>
  <c r="BS18" i="176"/>
  <c r="BC18" i="176"/>
  <c r="BB18" i="176"/>
  <c r="AS18" i="176"/>
  <c r="ED18" i="176" s="1"/>
  <c r="AF18" i="176"/>
  <c r="Y18" i="176"/>
  <c r="EB17" i="176"/>
  <c r="EA17" i="176"/>
  <c r="DZ17" i="176"/>
  <c r="DX17" i="176"/>
  <c r="DW17" i="176"/>
  <c r="DV17" i="176"/>
  <c r="DT17" i="176"/>
  <c r="DS17" i="176"/>
  <c r="DQ17" i="176"/>
  <c r="DO17" i="176"/>
  <c r="DN17" i="176"/>
  <c r="DL17" i="176"/>
  <c r="DK17" i="176"/>
  <c r="DH17" i="176"/>
  <c r="CI17" i="176"/>
  <c r="CH17" i="176"/>
  <c r="CF17" i="176"/>
  <c r="CE17" i="176"/>
  <c r="CD17" i="176"/>
  <c r="BY17" i="176"/>
  <c r="BV17" i="176"/>
  <c r="BT17" i="176"/>
  <c r="BS17" i="176"/>
  <c r="BP17" i="176"/>
  <c r="BB17" i="176"/>
  <c r="AS17" i="176"/>
  <c r="AN17" i="176"/>
  <c r="ED16" i="176"/>
  <c r="EB16" i="176"/>
  <c r="EA16" i="176"/>
  <c r="DZ16" i="176"/>
  <c r="DY16" i="176"/>
  <c r="DX16" i="176"/>
  <c r="DW16" i="176"/>
  <c r="DV16" i="176"/>
  <c r="DT16" i="176"/>
  <c r="DS16" i="176"/>
  <c r="DQ16" i="176"/>
  <c r="DP16" i="176"/>
  <c r="DO16" i="176"/>
  <c r="DN16" i="176"/>
  <c r="DL16" i="176"/>
  <c r="DK16" i="176"/>
  <c r="CN16" i="176"/>
  <c r="H16" i="176" s="1"/>
  <c r="CL16" i="176"/>
  <c r="CI16" i="176"/>
  <c r="CH16" i="176"/>
  <c r="CG16" i="176"/>
  <c r="CF16" i="176"/>
  <c r="CE16" i="176"/>
  <c r="CD16" i="176"/>
  <c r="BY16" i="176"/>
  <c r="BX16" i="176"/>
  <c r="BV16" i="176"/>
  <c r="BT16" i="176"/>
  <c r="BS16" i="176"/>
  <c r="AV16" i="176"/>
  <c r="AN16" i="176"/>
  <c r="Y16" i="176"/>
  <c r="ED15" i="176"/>
  <c r="EB15" i="176"/>
  <c r="EA15" i="176"/>
  <c r="DZ15" i="176"/>
  <c r="DY15" i="176"/>
  <c r="DX15" i="176"/>
  <c r="DW15" i="176"/>
  <c r="DV15" i="176"/>
  <c r="DT15" i="176"/>
  <c r="DS15" i="176"/>
  <c r="DQ15" i="176"/>
  <c r="DP15" i="176"/>
  <c r="DO15" i="176"/>
  <c r="DN15" i="176"/>
  <c r="DL15" i="176"/>
  <c r="DK15" i="176"/>
  <c r="CN15" i="176"/>
  <c r="H15" i="176" s="1"/>
  <c r="CL15" i="176"/>
  <c r="CI15" i="176"/>
  <c r="CH15" i="176"/>
  <c r="CG15" i="176"/>
  <c r="CF15" i="176"/>
  <c r="CE15" i="176"/>
  <c r="CD15" i="176"/>
  <c r="BY15" i="176"/>
  <c r="BX15" i="176"/>
  <c r="BV15" i="176"/>
  <c r="BT15" i="176"/>
  <c r="BS15" i="176"/>
  <c r="AV15" i="176"/>
  <c r="Y15" i="176"/>
  <c r="ED14" i="176"/>
  <c r="EB14" i="176"/>
  <c r="EA14" i="176"/>
  <c r="DZ14" i="176"/>
  <c r="DY14" i="176"/>
  <c r="DX14" i="176"/>
  <c r="DW14" i="176"/>
  <c r="DV14" i="176"/>
  <c r="DT14" i="176"/>
  <c r="DS14" i="176"/>
  <c r="DQ14" i="176"/>
  <c r="DP14" i="176"/>
  <c r="DO14" i="176"/>
  <c r="DN14" i="176"/>
  <c r="DL14" i="176"/>
  <c r="DK14" i="176"/>
  <c r="CN14" i="176"/>
  <c r="H14" i="176" s="1"/>
  <c r="I14" i="176" s="1"/>
  <c r="CL14" i="176"/>
  <c r="CI14" i="176"/>
  <c r="CH14" i="176"/>
  <c r="CG14" i="176"/>
  <c r="CF14" i="176"/>
  <c r="CE14" i="176"/>
  <c r="CD14" i="176"/>
  <c r="BY14" i="176"/>
  <c r="BX14" i="176"/>
  <c r="BV14" i="176"/>
  <c r="BT14" i="176"/>
  <c r="BS14" i="176"/>
  <c r="AV14" i="176"/>
  <c r="Y14" i="176"/>
  <c r="ED13" i="176"/>
  <c r="EB13" i="176"/>
  <c r="EA13" i="176"/>
  <c r="DZ13" i="176"/>
  <c r="DY13" i="176"/>
  <c r="DX13" i="176"/>
  <c r="DW13" i="176"/>
  <c r="DV13" i="176"/>
  <c r="DT13" i="176"/>
  <c r="DS13" i="176"/>
  <c r="DQ13" i="176"/>
  <c r="DO13" i="176"/>
  <c r="DN13" i="176"/>
  <c r="DL13" i="176"/>
  <c r="DK13" i="176"/>
  <c r="CT13" i="176"/>
  <c r="DP13" i="176" s="1"/>
  <c r="CL13" i="176"/>
  <c r="CI13" i="176"/>
  <c r="CH13" i="176"/>
  <c r="CG13" i="176"/>
  <c r="CF13" i="176"/>
  <c r="CE13" i="176"/>
  <c r="CD13" i="176"/>
  <c r="BY13" i="176"/>
  <c r="BV13" i="176"/>
  <c r="BT13" i="176"/>
  <c r="BS13" i="176"/>
  <c r="BB13" i="176"/>
  <c r="BX13" i="176" s="1"/>
  <c r="Y13" i="176"/>
  <c r="ED12" i="176"/>
  <c r="EB12" i="176"/>
  <c r="EA12" i="176"/>
  <c r="DZ12" i="176"/>
  <c r="DY12" i="176"/>
  <c r="DX12" i="176"/>
  <c r="DW12" i="176"/>
  <c r="DV12" i="176"/>
  <c r="DT12" i="176"/>
  <c r="DS12" i="176"/>
  <c r="DQ12" i="176"/>
  <c r="DO12" i="176"/>
  <c r="DN12" i="176"/>
  <c r="DL12" i="176"/>
  <c r="DK12" i="176"/>
  <c r="CT12" i="176"/>
  <c r="CL12" i="176"/>
  <c r="CI12" i="176"/>
  <c r="CH12" i="176"/>
  <c r="CG12" i="176"/>
  <c r="CF12" i="176"/>
  <c r="CE12" i="176"/>
  <c r="CD12" i="176"/>
  <c r="BY12" i="176"/>
  <c r="BV12" i="176"/>
  <c r="BT12" i="176"/>
  <c r="BS12" i="176"/>
  <c r="BB12" i="176"/>
  <c r="Y12" i="176"/>
  <c r="ED11" i="176"/>
  <c r="EB11" i="176"/>
  <c r="EA11" i="176"/>
  <c r="DZ11" i="176"/>
  <c r="DY11" i="176"/>
  <c r="DX11" i="176"/>
  <c r="DW11" i="176"/>
  <c r="DV11" i="176"/>
  <c r="DT11" i="176"/>
  <c r="DS11" i="176"/>
  <c r="DQ11" i="176"/>
  <c r="DO11" i="176"/>
  <c r="DN11" i="176"/>
  <c r="DL11" i="176"/>
  <c r="DK11" i="176"/>
  <c r="CT11" i="176"/>
  <c r="CL11" i="176"/>
  <c r="CI11" i="176"/>
  <c r="CH11" i="176"/>
  <c r="CG11" i="176"/>
  <c r="CF11" i="176"/>
  <c r="CE11" i="176"/>
  <c r="CD11" i="176"/>
  <c r="BY11" i="176"/>
  <c r="BV11" i="176"/>
  <c r="BT11" i="176"/>
  <c r="BS11" i="176"/>
  <c r="BB11" i="176"/>
  <c r="AV11" i="176" s="1"/>
  <c r="AE11" i="176"/>
  <c r="EB10" i="176"/>
  <c r="EA10" i="176"/>
  <c r="DZ10" i="176"/>
  <c r="DY10" i="176"/>
  <c r="DX10" i="176"/>
  <c r="DW10" i="176"/>
  <c r="DV10" i="176"/>
  <c r="DT10" i="176"/>
  <c r="DS10" i="176"/>
  <c r="DQ10" i="176"/>
  <c r="DP10" i="176"/>
  <c r="DO10" i="176"/>
  <c r="DN10" i="176"/>
  <c r="DL10" i="176"/>
  <c r="DK10" i="176"/>
  <c r="DH10" i="176"/>
  <c r="DH202" i="176" s="1"/>
  <c r="CI10" i="176"/>
  <c r="CH10" i="176"/>
  <c r="CG10" i="176"/>
  <c r="CF10" i="176"/>
  <c r="CE10" i="176"/>
  <c r="CD10" i="176"/>
  <c r="CC10" i="176"/>
  <c r="CB10" i="176"/>
  <c r="CA10" i="176"/>
  <c r="BY10" i="176"/>
  <c r="BX10" i="176"/>
  <c r="BV10" i="176"/>
  <c r="BT10" i="176"/>
  <c r="BS10" i="176"/>
  <c r="BP10" i="176"/>
  <c r="AV10" i="176" s="1"/>
  <c r="AS10" i="176"/>
  <c r="ED9" i="176"/>
  <c r="EB9" i="176"/>
  <c r="EA9" i="176"/>
  <c r="DZ9" i="176"/>
  <c r="DY9" i="176"/>
  <c r="DW9" i="176"/>
  <c r="DV9" i="176"/>
  <c r="DT9" i="176"/>
  <c r="DS9" i="176"/>
  <c r="DQ9" i="176"/>
  <c r="DP9" i="176"/>
  <c r="DO9" i="176"/>
  <c r="DN9" i="176"/>
  <c r="DL9" i="176"/>
  <c r="DK9" i="176"/>
  <c r="DB9" i="176"/>
  <c r="CN9" i="176"/>
  <c r="CL9" i="176"/>
  <c r="CI9" i="176"/>
  <c r="CH9" i="176"/>
  <c r="CG9" i="176"/>
  <c r="CE9" i="176"/>
  <c r="CD9" i="176"/>
  <c r="BY9" i="176"/>
  <c r="BX9" i="176"/>
  <c r="BV9" i="176"/>
  <c r="BT9" i="176"/>
  <c r="BS9" i="176"/>
  <c r="BJ9" i="176"/>
  <c r="AV9" i="176" s="1"/>
  <c r="AM9" i="176"/>
  <c r="DX9" i="176" s="1"/>
  <c r="ED8" i="176"/>
  <c r="EB8" i="176"/>
  <c r="EA8" i="176"/>
  <c r="DZ8" i="176"/>
  <c r="DY8" i="176"/>
  <c r="DX8" i="176"/>
  <c r="DW8" i="176"/>
  <c r="DV8" i="176"/>
  <c r="DT8" i="176"/>
  <c r="DS8" i="176"/>
  <c r="DQ8" i="176"/>
  <c r="DP8" i="176"/>
  <c r="DO8" i="176"/>
  <c r="DN8" i="176"/>
  <c r="DL8" i="176"/>
  <c r="DK8" i="176"/>
  <c r="CN8" i="176"/>
  <c r="CL8" i="176"/>
  <c r="CI8" i="176"/>
  <c r="CH8" i="176"/>
  <c r="CG8" i="176"/>
  <c r="CF8" i="176"/>
  <c r="CE8" i="176"/>
  <c r="CD8" i="176"/>
  <c r="BY8" i="176"/>
  <c r="BX8" i="176"/>
  <c r="BV8" i="176"/>
  <c r="BT8" i="176"/>
  <c r="BS8" i="176"/>
  <c r="AV8" i="176"/>
  <c r="AM8" i="176"/>
  <c r="Y8" i="176" s="1"/>
  <c r="H8" i="176"/>
  <c r="ED7" i="176"/>
  <c r="EB7" i="176"/>
  <c r="EA7" i="176"/>
  <c r="DZ7" i="176"/>
  <c r="DY7" i="176"/>
  <c r="DW7" i="176"/>
  <c r="DV7" i="176"/>
  <c r="DT7" i="176"/>
  <c r="DS7" i="176"/>
  <c r="DQ7" i="176"/>
  <c r="DP7" i="176"/>
  <c r="DO7" i="176"/>
  <c r="DN7" i="176"/>
  <c r="DL7" i="176"/>
  <c r="DK7" i="176"/>
  <c r="DB7" i="176"/>
  <c r="DX7" i="176" s="1"/>
  <c r="CL7" i="176"/>
  <c r="CI7" i="176"/>
  <c r="CH7" i="176"/>
  <c r="CG7" i="176"/>
  <c r="CE7" i="176"/>
  <c r="CD7" i="176"/>
  <c r="BY7" i="176"/>
  <c r="BX7" i="176"/>
  <c r="BV7" i="176"/>
  <c r="BT7" i="176"/>
  <c r="BS7" i="176"/>
  <c r="BJ7" i="176"/>
  <c r="AV7" i="176" s="1"/>
  <c r="AM7" i="176"/>
  <c r="AM34" i="176" s="1"/>
  <c r="Y7" i="176"/>
  <c r="ED6" i="176"/>
  <c r="EB6" i="176"/>
  <c r="EA6" i="176"/>
  <c r="DZ6" i="176"/>
  <c r="DY6" i="176"/>
  <c r="DX6" i="176"/>
  <c r="DW6" i="176"/>
  <c r="DV6" i="176"/>
  <c r="DT6" i="176"/>
  <c r="DS6" i="176"/>
  <c r="DQ6" i="176"/>
  <c r="DP6" i="176"/>
  <c r="DO6" i="176"/>
  <c r="DN6" i="176"/>
  <c r="DL6" i="176"/>
  <c r="DK6" i="176"/>
  <c r="CN6" i="176"/>
  <c r="CL6" i="176"/>
  <c r="CI6" i="176"/>
  <c r="CH6" i="176"/>
  <c r="CG6" i="176"/>
  <c r="CE6" i="176"/>
  <c r="CD6" i="176"/>
  <c r="BY6" i="176"/>
  <c r="BX6" i="176"/>
  <c r="BV6" i="176"/>
  <c r="BT6" i="176"/>
  <c r="BS6" i="176"/>
  <c r="BJ6" i="176"/>
  <c r="Y6" i="176"/>
  <c r="ED5" i="176"/>
  <c r="EB5" i="176"/>
  <c r="EA5" i="176"/>
  <c r="DZ5" i="176"/>
  <c r="DY5" i="176"/>
  <c r="DX5" i="176"/>
  <c r="DW5" i="176"/>
  <c r="DV5" i="176"/>
  <c r="DT5" i="176"/>
  <c r="DS5" i="176"/>
  <c r="DQ5" i="176"/>
  <c r="DP5" i="176"/>
  <c r="DO5" i="176"/>
  <c r="DN5" i="176"/>
  <c r="DL5" i="176"/>
  <c r="DK5" i="176"/>
  <c r="CN5" i="176"/>
  <c r="CL5" i="176"/>
  <c r="CI5" i="176"/>
  <c r="CH5" i="176"/>
  <c r="CG5" i="176"/>
  <c r="CF5" i="176"/>
  <c r="CE5" i="176"/>
  <c r="CD5" i="176"/>
  <c r="BY5" i="176"/>
  <c r="BX5" i="176"/>
  <c r="BV5" i="176"/>
  <c r="BT5" i="176"/>
  <c r="BS5" i="176"/>
  <c r="AV5" i="176"/>
  <c r="Y5" i="176"/>
  <c r="AU5" i="176" s="1"/>
  <c r="BQ5" i="176" s="1"/>
  <c r="ED4" i="176"/>
  <c r="EB4" i="176"/>
  <c r="EA4" i="176"/>
  <c r="DZ4" i="176"/>
  <c r="DY4" i="176"/>
  <c r="DW4" i="176"/>
  <c r="DV4" i="176"/>
  <c r="DT4" i="176"/>
  <c r="DS4" i="176"/>
  <c r="DQ4" i="176"/>
  <c r="DP4" i="176"/>
  <c r="DO4" i="176"/>
  <c r="DN4" i="176"/>
  <c r="DL4" i="176"/>
  <c r="DK4" i="176"/>
  <c r="DB4" i="176"/>
  <c r="CN4" i="176" s="1"/>
  <c r="CL4" i="176"/>
  <c r="CJ4" i="176"/>
  <c r="CI4" i="176"/>
  <c r="CH4" i="176"/>
  <c r="CG4" i="176"/>
  <c r="CE4" i="176"/>
  <c r="CD4" i="176"/>
  <c r="CC4" i="176"/>
  <c r="CB4" i="176"/>
  <c r="CA4" i="176"/>
  <c r="BY4" i="176"/>
  <c r="BX4" i="176"/>
  <c r="BV4" i="176"/>
  <c r="BT4" i="176"/>
  <c r="BS4" i="176"/>
  <c r="BJ4" i="176"/>
  <c r="AV4" i="176" s="1"/>
  <c r="Y4" i="176"/>
  <c r="CH3" i="176"/>
  <c r="DD3" i="176" s="1"/>
  <c r="DI166" i="175"/>
  <c r="BQ166" i="175"/>
  <c r="BQ23" i="175"/>
  <c r="DI67" i="175"/>
  <c r="H37" i="176" l="1"/>
  <c r="ED10" i="176"/>
  <c r="ED202" i="176" s="1"/>
  <c r="DC202" i="176"/>
  <c r="CN23" i="176"/>
  <c r="H23" i="176" s="1"/>
  <c r="DY64" i="176"/>
  <c r="CN64" i="176"/>
  <c r="CJ202" i="176"/>
  <c r="Y11" i="176"/>
  <c r="AU11" i="176" s="1"/>
  <c r="BQ11" i="176" s="1"/>
  <c r="AE34" i="176"/>
  <c r="BY20" i="176"/>
  <c r="Y20" i="176"/>
  <c r="DQ20" i="176"/>
  <c r="DD34" i="176"/>
  <c r="CN22" i="176"/>
  <c r="H22" i="176" s="1"/>
  <c r="DJ28" i="176"/>
  <c r="DH34" i="176"/>
  <c r="DT67" i="176"/>
  <c r="I88" i="176"/>
  <c r="DN89" i="176"/>
  <c r="DJ89" i="176" s="1"/>
  <c r="Y89" i="176"/>
  <c r="CM89" i="176"/>
  <c r="DI89" i="176" s="1"/>
  <c r="Y117" i="176"/>
  <c r="CL117" i="176"/>
  <c r="BR117" i="176" s="1"/>
  <c r="ED117" i="176"/>
  <c r="DJ117" i="176" s="1"/>
  <c r="AU126" i="176"/>
  <c r="BQ126" i="176" s="1"/>
  <c r="DN145" i="176"/>
  <c r="DJ145" i="176" s="1"/>
  <c r="BV145" i="176"/>
  <c r="BR145" i="176" s="1"/>
  <c r="CM5" i="176"/>
  <c r="DI5" i="176" s="1"/>
  <c r="H5" i="176"/>
  <c r="I5" i="176" s="1"/>
  <c r="CM29" i="176"/>
  <c r="DI29" i="176" s="1"/>
  <c r="H29" i="176"/>
  <c r="I29" i="176" s="1"/>
  <c r="BX48" i="176"/>
  <c r="BT88" i="176"/>
  <c r="DL88" i="176"/>
  <c r="DJ88" i="176" s="1"/>
  <c r="BM128" i="176"/>
  <c r="BM196" i="176" s="1"/>
  <c r="Y131" i="176"/>
  <c r="CM131" i="176" s="1"/>
  <c r="DI131" i="176" s="1"/>
  <c r="BV131" i="176"/>
  <c r="DN131" i="176"/>
  <c r="DN148" i="176"/>
  <c r="Y148" i="176"/>
  <c r="AU148" i="176" s="1"/>
  <c r="BQ148" i="176" s="1"/>
  <c r="BV148" i="176"/>
  <c r="Y149" i="176"/>
  <c r="AU149" i="176" s="1"/>
  <c r="BQ149" i="176" s="1"/>
  <c r="AS198" i="176"/>
  <c r="CL149" i="176"/>
  <c r="Y164" i="176"/>
  <c r="CM164" i="176" s="1"/>
  <c r="DI164" i="176" s="1"/>
  <c r="ED164" i="176"/>
  <c r="Y179" i="176"/>
  <c r="AU179" i="176" s="1"/>
  <c r="BQ179" i="176" s="1"/>
  <c r="DN179" i="176"/>
  <c r="DJ179" i="176" s="1"/>
  <c r="BV179" i="176"/>
  <c r="CM188" i="176"/>
  <c r="DI188" i="176" s="1"/>
  <c r="ED66" i="176"/>
  <c r="CL66" i="176"/>
  <c r="BP200" i="176"/>
  <c r="BE201" i="176"/>
  <c r="CA48" i="176"/>
  <c r="CA67" i="176" s="1"/>
  <c r="BE67" i="176"/>
  <c r="BE196" i="176" s="1"/>
  <c r="BL205" i="176"/>
  <c r="CH113" i="176"/>
  <c r="BR113" i="176" s="1"/>
  <c r="AV113" i="176"/>
  <c r="AU113" i="176" s="1"/>
  <c r="BQ113" i="176" s="1"/>
  <c r="BR136" i="176"/>
  <c r="BP198" i="176"/>
  <c r="AV149" i="176"/>
  <c r="AU164" i="176"/>
  <c r="BQ164" i="176" s="1"/>
  <c r="DP40" i="176"/>
  <c r="DJ40" i="176" s="1"/>
  <c r="CN40" i="176"/>
  <c r="BR45" i="176"/>
  <c r="BB104" i="176"/>
  <c r="AV69" i="176"/>
  <c r="AU69" i="176" s="1"/>
  <c r="BQ69" i="176" s="1"/>
  <c r="CF4" i="176"/>
  <c r="AV33" i="176"/>
  <c r="DX33" i="176"/>
  <c r="DJ33" i="176" s="1"/>
  <c r="DD67" i="176"/>
  <c r="DD196" i="176" s="1"/>
  <c r="CM42" i="176"/>
  <c r="DI42" i="176" s="1"/>
  <c r="CN62" i="176"/>
  <c r="BL67" i="176"/>
  <c r="Y68" i="176"/>
  <c r="CL68" i="176"/>
  <c r="Y79" i="176"/>
  <c r="AU79" i="176" s="1"/>
  <c r="BQ79" i="176" s="1"/>
  <c r="ED79" i="176"/>
  <c r="DY112" i="176"/>
  <c r="DJ112" i="176" s="1"/>
  <c r="CN112" i="176"/>
  <c r="H112" i="176" s="1"/>
  <c r="AU155" i="176"/>
  <c r="BQ155" i="176" s="1"/>
  <c r="CL164" i="176"/>
  <c r="AU185" i="176"/>
  <c r="BQ185" i="176" s="1"/>
  <c r="AF201" i="176"/>
  <c r="DQ35" i="176"/>
  <c r="I89" i="176"/>
  <c r="EA110" i="176"/>
  <c r="EA205" i="176" s="1"/>
  <c r="CN110" i="176"/>
  <c r="BX177" i="176"/>
  <c r="DP177" i="176"/>
  <c r="AV64" i="176"/>
  <c r="CG64" i="176"/>
  <c r="BR64" i="176" s="1"/>
  <c r="BR66" i="176"/>
  <c r="AV92" i="176"/>
  <c r="BX92" i="176"/>
  <c r="BR92" i="176" s="1"/>
  <c r="AE198" i="176"/>
  <c r="DP131" i="176"/>
  <c r="AE194" i="176"/>
  <c r="Y171" i="176"/>
  <c r="ED171" i="176"/>
  <c r="DJ171" i="176" s="1"/>
  <c r="DQ84" i="176"/>
  <c r="AU159" i="176"/>
  <c r="BQ159" i="176" s="1"/>
  <c r="CL10" i="176"/>
  <c r="CL202" i="176" s="1"/>
  <c r="Y10" i="176"/>
  <c r="AU10" i="176" s="1"/>
  <c r="BQ10" i="176" s="1"/>
  <c r="BX11" i="176"/>
  <c r="DJ14" i="176"/>
  <c r="BR22" i="176"/>
  <c r="DL45" i="176"/>
  <c r="Y45" i="176"/>
  <c r="BX58" i="176"/>
  <c r="BP104" i="176"/>
  <c r="AV68" i="176"/>
  <c r="BV89" i="176"/>
  <c r="CN90" i="176"/>
  <c r="CM90" i="176" s="1"/>
  <c r="DI90" i="176" s="1"/>
  <c r="BR96" i="176"/>
  <c r="CF127" i="176"/>
  <c r="AV127" i="176"/>
  <c r="AU127" i="176" s="1"/>
  <c r="BQ127" i="176" s="1"/>
  <c r="DP130" i="176"/>
  <c r="DJ130" i="176" s="1"/>
  <c r="DD194" i="176"/>
  <c r="DZ133" i="176"/>
  <c r="Y140" i="176"/>
  <c r="DN140" i="176"/>
  <c r="DJ140" i="176" s="1"/>
  <c r="BV140" i="176"/>
  <c r="BR140" i="176" s="1"/>
  <c r="DN141" i="176"/>
  <c r="BV141" i="176"/>
  <c r="Y141" i="176"/>
  <c r="I141" i="176" s="1"/>
  <c r="DN151" i="176"/>
  <c r="Y151" i="176"/>
  <c r="CL159" i="176"/>
  <c r="ED159" i="176"/>
  <c r="DJ159" i="176" s="1"/>
  <c r="H185" i="176"/>
  <c r="CM185" i="176"/>
  <c r="DI185" i="176" s="1"/>
  <c r="CN92" i="176"/>
  <c r="H92" i="176" s="1"/>
  <c r="DP92" i="176"/>
  <c r="DP203" i="176" s="1"/>
  <c r="DH128" i="176"/>
  <c r="CN108" i="176"/>
  <c r="H108" i="176" s="1"/>
  <c r="CL192" i="176"/>
  <c r="AU7" i="176"/>
  <c r="BQ7" i="176" s="1"/>
  <c r="CN24" i="176"/>
  <c r="H24" i="176" s="1"/>
  <c r="I24" i="176" s="1"/>
  <c r="DP24" i="176"/>
  <c r="DH199" i="176"/>
  <c r="CE34" i="176"/>
  <c r="AU33" i="176"/>
  <c r="BQ33" i="176" s="1"/>
  <c r="DO134" i="176"/>
  <c r="BW134" i="176"/>
  <c r="Y134" i="176"/>
  <c r="AU134" i="176" s="1"/>
  <c r="BQ134" i="176" s="1"/>
  <c r="I185" i="176"/>
  <c r="AO200" i="176"/>
  <c r="Y191" i="176"/>
  <c r="I191" i="176" s="1"/>
  <c r="CN7" i="176"/>
  <c r="CN10" i="176"/>
  <c r="CM14" i="176"/>
  <c r="DI14" i="176" s="1"/>
  <c r="BC200" i="176"/>
  <c r="BC34" i="176"/>
  <c r="BY18" i="176"/>
  <c r="BY34" i="176" s="1"/>
  <c r="CM26" i="176"/>
  <c r="DI26" i="176" s="1"/>
  <c r="I32" i="176"/>
  <c r="DP43" i="176"/>
  <c r="DJ43" i="176" s="1"/>
  <c r="CN43" i="176"/>
  <c r="AV70" i="176"/>
  <c r="CN75" i="176"/>
  <c r="H75" i="176" s="1"/>
  <c r="I75" i="176" s="1"/>
  <c r="CL77" i="176"/>
  <c r="BR77" i="176" s="1"/>
  <c r="AV110" i="176"/>
  <c r="AU110" i="176" s="1"/>
  <c r="BQ110" i="176" s="1"/>
  <c r="CN111" i="176"/>
  <c r="H111" i="176" s="1"/>
  <c r="DK111" i="176"/>
  <c r="AO128" i="176"/>
  <c r="AO196" i="176" s="1"/>
  <c r="AN199" i="176"/>
  <c r="CG157" i="176"/>
  <c r="DY157" i="176"/>
  <c r="BX182" i="176"/>
  <c r="AU14" i="176"/>
  <c r="BQ14" i="176" s="1"/>
  <c r="AS200" i="176"/>
  <c r="BX40" i="176"/>
  <c r="BR40" i="176" s="1"/>
  <c r="DX48" i="176"/>
  <c r="DN58" i="176"/>
  <c r="DJ58" i="176" s="1"/>
  <c r="CL58" i="176"/>
  <c r="CH62" i="176"/>
  <c r="DY62" i="176"/>
  <c r="DJ62" i="176" s="1"/>
  <c r="AL67" i="176"/>
  <c r="DQ78" i="176"/>
  <c r="AU88" i="176"/>
  <c r="BQ88" i="176" s="1"/>
  <c r="CG99" i="176"/>
  <c r="BR99" i="176" s="1"/>
  <c r="CR104" i="176"/>
  <c r="DN128" i="176"/>
  <c r="ED114" i="176"/>
  <c r="CL198" i="176"/>
  <c r="DT198" i="176"/>
  <c r="DN167" i="176"/>
  <c r="BV183" i="176"/>
  <c r="BR183" i="176" s="1"/>
  <c r="BR185" i="176"/>
  <c r="ED192" i="176"/>
  <c r="BA203" i="176"/>
  <c r="DY23" i="176"/>
  <c r="DJ23" i="176" s="1"/>
  <c r="ED103" i="176"/>
  <c r="AU172" i="176"/>
  <c r="BQ172" i="176" s="1"/>
  <c r="CA200" i="176"/>
  <c r="BK34" i="176"/>
  <c r="DJ24" i="176"/>
  <c r="CN32" i="176"/>
  <c r="H32" i="176" s="1"/>
  <c r="Y37" i="176"/>
  <c r="CM37" i="176" s="1"/>
  <c r="DI37" i="176" s="1"/>
  <c r="BT47" i="176"/>
  <c r="CG48" i="176"/>
  <c r="Y55" i="176"/>
  <c r="CM55" i="176" s="1"/>
  <c r="DI55" i="176" s="1"/>
  <c r="DZ64" i="176"/>
  <c r="CH64" i="176"/>
  <c r="Y70" i="176"/>
  <c r="CL71" i="176"/>
  <c r="AV83" i="176"/>
  <c r="Y84" i="176"/>
  <c r="AU93" i="176"/>
  <c r="BQ93" i="176" s="1"/>
  <c r="BX95" i="176"/>
  <c r="BR95" i="176" s="1"/>
  <c r="BX99" i="176"/>
  <c r="DN134" i="176"/>
  <c r="Y173" i="176"/>
  <c r="CM173" i="176" s="1"/>
  <c r="DI173" i="176" s="1"/>
  <c r="AU178" i="176"/>
  <c r="BQ178" i="176" s="1"/>
  <c r="AU180" i="176"/>
  <c r="BQ180" i="176" s="1"/>
  <c r="Y183" i="176"/>
  <c r="I183" i="176" s="1"/>
  <c r="DJ188" i="176"/>
  <c r="BD196" i="176"/>
  <c r="BO194" i="176"/>
  <c r="BR72" i="176"/>
  <c r="BY74" i="176"/>
  <c r="BR74" i="176" s="1"/>
  <c r="CF7" i="176"/>
  <c r="CL18" i="176"/>
  <c r="DJ20" i="176"/>
  <c r="I26" i="176"/>
  <c r="BY45" i="176"/>
  <c r="CN45" i="176"/>
  <c r="H45" i="176" s="1"/>
  <c r="I45" i="176" s="1"/>
  <c r="Y47" i="176"/>
  <c r="AU47" i="176" s="1"/>
  <c r="BQ47" i="176" s="1"/>
  <c r="CH48" i="176"/>
  <c r="CL59" i="176"/>
  <c r="AV60" i="176"/>
  <c r="CN70" i="176"/>
  <c r="AV72" i="176"/>
  <c r="AU72" i="176" s="1"/>
  <c r="BQ72" i="176" s="1"/>
  <c r="DL83" i="176"/>
  <c r="DL95" i="176"/>
  <c r="AU97" i="176"/>
  <c r="BQ97" i="176" s="1"/>
  <c r="DL98" i="176"/>
  <c r="DO104" i="176"/>
  <c r="I113" i="176"/>
  <c r="BH194" i="176"/>
  <c r="BH196" i="176" s="1"/>
  <c r="BY167" i="176"/>
  <c r="DJ186" i="176"/>
  <c r="AO194" i="176"/>
  <c r="AV48" i="176"/>
  <c r="I63" i="176"/>
  <c r="DJ66" i="176"/>
  <c r="CC104" i="176"/>
  <c r="Y78" i="176"/>
  <c r="BR89" i="176"/>
  <c r="AU94" i="176"/>
  <c r="BQ94" i="176" s="1"/>
  <c r="AV99" i="176"/>
  <c r="AV101" i="176"/>
  <c r="AS128" i="176"/>
  <c r="AU109" i="176"/>
  <c r="BQ109" i="176" s="1"/>
  <c r="CM109" i="176"/>
  <c r="DI109" i="176" s="1"/>
  <c r="CI199" i="176"/>
  <c r="CL170" i="176"/>
  <c r="ED170" i="176"/>
  <c r="AV176" i="176"/>
  <c r="AU176" i="176" s="1"/>
  <c r="BQ176" i="176" s="1"/>
  <c r="CM178" i="176"/>
  <c r="DI178" i="176" s="1"/>
  <c r="DJ182" i="176"/>
  <c r="AQ204" i="176"/>
  <c r="AQ206" i="176" s="1"/>
  <c r="I188" i="176"/>
  <c r="I140" i="176"/>
  <c r="CB200" i="176"/>
  <c r="BO196" i="176"/>
  <c r="DJ137" i="176"/>
  <c r="I145" i="176"/>
  <c r="DJ148" i="176"/>
  <c r="AU166" i="176"/>
  <c r="BQ166" i="176" s="1"/>
  <c r="AU182" i="176"/>
  <c r="BQ182" i="176" s="1"/>
  <c r="CM184" i="176"/>
  <c r="DI184" i="176" s="1"/>
  <c r="BR186" i="176"/>
  <c r="CM186" i="176"/>
  <c r="DI186" i="176" s="1"/>
  <c r="CK202" i="176"/>
  <c r="DJ192" i="176"/>
  <c r="I138" i="176"/>
  <c r="BR147" i="176"/>
  <c r="BR159" i="176"/>
  <c r="DO199" i="176"/>
  <c r="DJ155" i="176"/>
  <c r="CM138" i="176"/>
  <c r="DI138" i="176" s="1"/>
  <c r="BR149" i="176"/>
  <c r="DT199" i="176"/>
  <c r="I155" i="176"/>
  <c r="DJ191" i="176"/>
  <c r="CC200" i="176"/>
  <c r="G196" i="176"/>
  <c r="CA199" i="176"/>
  <c r="AK196" i="176"/>
  <c r="BR134" i="176"/>
  <c r="CM159" i="176"/>
  <c r="DI159" i="176" s="1"/>
  <c r="H164" i="176"/>
  <c r="I164" i="176" s="1"/>
  <c r="BR178" i="176"/>
  <c r="I193" i="176"/>
  <c r="CB198" i="176"/>
  <c r="AU133" i="176"/>
  <c r="BQ133" i="176" s="1"/>
  <c r="DJ139" i="176"/>
  <c r="BR160" i="176"/>
  <c r="CM166" i="176"/>
  <c r="DI166" i="176" s="1"/>
  <c r="H175" i="176"/>
  <c r="CD198" i="176"/>
  <c r="DJ138" i="176"/>
  <c r="I143" i="176"/>
  <c r="DJ156" i="176"/>
  <c r="CM160" i="176"/>
  <c r="DI160" i="176" s="1"/>
  <c r="DJ166" i="176"/>
  <c r="BR192" i="176"/>
  <c r="DJ107" i="176"/>
  <c r="BR109" i="176"/>
  <c r="CE128" i="176"/>
  <c r="DQ205" i="176"/>
  <c r="AU107" i="176"/>
  <c r="BQ107" i="176" s="1"/>
  <c r="I114" i="176"/>
  <c r="BR125" i="176"/>
  <c r="DG196" i="176"/>
  <c r="H109" i="176"/>
  <c r="I109" i="176" s="1"/>
  <c r="AU112" i="176"/>
  <c r="BQ112" i="176" s="1"/>
  <c r="AU117" i="176"/>
  <c r="BQ117" i="176" s="1"/>
  <c r="DQ128" i="176"/>
  <c r="I111" i="176"/>
  <c r="DJ127" i="176"/>
  <c r="I112" i="176"/>
  <c r="BR114" i="176"/>
  <c r="CM127" i="176"/>
  <c r="DI127" i="176" s="1"/>
  <c r="DJ103" i="176"/>
  <c r="AU68" i="176"/>
  <c r="BQ68" i="176" s="1"/>
  <c r="DJ79" i="176"/>
  <c r="CM88" i="176"/>
  <c r="DI88" i="176" s="1"/>
  <c r="I97" i="176"/>
  <c r="I99" i="176"/>
  <c r="CM75" i="176"/>
  <c r="DI75" i="176" s="1"/>
  <c r="DJ83" i="176"/>
  <c r="DJ97" i="176"/>
  <c r="BR94" i="176"/>
  <c r="BR83" i="176"/>
  <c r="I86" i="176"/>
  <c r="DJ84" i="176"/>
  <c r="CM43" i="176"/>
  <c r="DI43" i="176" s="1"/>
  <c r="CD201" i="176"/>
  <c r="I37" i="176"/>
  <c r="AU40" i="176"/>
  <c r="BQ40" i="176" s="1"/>
  <c r="CM52" i="176"/>
  <c r="DI52" i="176" s="1"/>
  <c r="DJ52" i="176"/>
  <c r="CM56" i="176"/>
  <c r="DI56" i="176" s="1"/>
  <c r="AJ196" i="176"/>
  <c r="AU43" i="176"/>
  <c r="BQ43" i="176" s="1"/>
  <c r="CM45" i="176"/>
  <c r="DI45" i="176" s="1"/>
  <c r="AI196" i="176"/>
  <c r="BR46" i="176"/>
  <c r="AB196" i="176"/>
  <c r="CY196" i="176"/>
  <c r="BU67" i="176"/>
  <c r="I52" i="176"/>
  <c r="DJ53" i="176"/>
  <c r="I8" i="176"/>
  <c r="BY200" i="176"/>
  <c r="AI204" i="176"/>
  <c r="AI206" i="176" s="1"/>
  <c r="DJ7" i="176"/>
  <c r="CS204" i="176"/>
  <c r="CS206" i="176" s="1"/>
  <c r="CM6" i="176"/>
  <c r="DI6" i="176" s="1"/>
  <c r="BR8" i="176"/>
  <c r="AU15" i="176"/>
  <c r="BQ15" i="176" s="1"/>
  <c r="DJ15" i="176"/>
  <c r="DJ16" i="176"/>
  <c r="EB200" i="176"/>
  <c r="AU29" i="176"/>
  <c r="BQ29" i="176" s="1"/>
  <c r="DJ29" i="176"/>
  <c r="DJ31" i="176"/>
  <c r="BR33" i="176"/>
  <c r="CK34" i="176"/>
  <c r="Z204" i="176"/>
  <c r="Z206" i="176" s="1"/>
  <c r="AK204" i="176"/>
  <c r="AK206" i="176" s="1"/>
  <c r="CX204" i="176"/>
  <c r="CX206" i="176" s="1"/>
  <c r="DG204" i="176"/>
  <c r="DG206" i="176" s="1"/>
  <c r="DW200" i="176"/>
  <c r="DJ25" i="176"/>
  <c r="BR7" i="176"/>
  <c r="BR14" i="176"/>
  <c r="BF204" i="176"/>
  <c r="BF206" i="176" s="1"/>
  <c r="CB202" i="176"/>
  <c r="BR11" i="176"/>
  <c r="I15" i="176"/>
  <c r="AU25" i="176"/>
  <c r="BQ25" i="176" s="1"/>
  <c r="AU26" i="176"/>
  <c r="BQ26" i="176" s="1"/>
  <c r="I27" i="176"/>
  <c r="DJ6" i="176"/>
  <c r="I20" i="176"/>
  <c r="BR29" i="176"/>
  <c r="CY204" i="176"/>
  <c r="CY206" i="176" s="1"/>
  <c r="AG204" i="176"/>
  <c r="AG206" i="176" s="1"/>
  <c r="DX200" i="176"/>
  <c r="G204" i="176"/>
  <c r="G206" i="176" s="1"/>
  <c r="BG204" i="176"/>
  <c r="BG206" i="176" s="1"/>
  <c r="BS200" i="176"/>
  <c r="CM33" i="176"/>
  <c r="DI33" i="176" s="1"/>
  <c r="H33" i="176"/>
  <c r="CB201" i="176"/>
  <c r="CB67" i="176"/>
  <c r="AU58" i="176"/>
  <c r="BQ58" i="176" s="1"/>
  <c r="BV34" i="176"/>
  <c r="CJ201" i="176"/>
  <c r="CJ67" i="176"/>
  <c r="AV57" i="176"/>
  <c r="AU57" i="176" s="1"/>
  <c r="BQ57" i="176" s="1"/>
  <c r="BX57" i="176"/>
  <c r="BX60" i="176"/>
  <c r="DP60" i="176"/>
  <c r="H90" i="176"/>
  <c r="I90" i="176" s="1"/>
  <c r="CN91" i="176"/>
  <c r="DQ91" i="176"/>
  <c r="H105" i="176"/>
  <c r="DJ5" i="176"/>
  <c r="H6" i="176"/>
  <c r="I6" i="176" s="1"/>
  <c r="AV12" i="176"/>
  <c r="AU12" i="176" s="1"/>
  <c r="BQ12" i="176" s="1"/>
  <c r="BX12" i="176"/>
  <c r="DJ13" i="176"/>
  <c r="BR20" i="176"/>
  <c r="AE201" i="176"/>
  <c r="BX35" i="176"/>
  <c r="DP35" i="176"/>
  <c r="Y35" i="176"/>
  <c r="AE67" i="176"/>
  <c r="Y21" i="176"/>
  <c r="I21" i="176" s="1"/>
  <c r="BT21" i="176"/>
  <c r="BT34" i="176" s="1"/>
  <c r="DL21" i="176"/>
  <c r="DJ21" i="176" s="1"/>
  <c r="AU24" i="176"/>
  <c r="BQ24" i="176" s="1"/>
  <c r="CV201" i="176"/>
  <c r="CV204" i="176" s="1"/>
  <c r="CV206" i="176" s="1"/>
  <c r="DR48" i="176"/>
  <c r="CV67" i="176"/>
  <c r="CV196" i="176" s="1"/>
  <c r="BR5" i="176"/>
  <c r="CF6" i="176"/>
  <c r="AV6" i="176"/>
  <c r="AU6" i="176" s="1"/>
  <c r="BQ6" i="176" s="1"/>
  <c r="DJ8" i="176"/>
  <c r="BR13" i="176"/>
  <c r="DK200" i="176"/>
  <c r="AU4" i="176"/>
  <c r="BQ4" i="176" s="1"/>
  <c r="EA34" i="176"/>
  <c r="DJ9" i="176"/>
  <c r="DJ10" i="176"/>
  <c r="CG19" i="176"/>
  <c r="BR19" i="176" s="1"/>
  <c r="DY19" i="176"/>
  <c r="DJ19" i="176" s="1"/>
  <c r="Y19" i="176"/>
  <c r="CE104" i="176"/>
  <c r="BR70" i="176"/>
  <c r="DP18" i="176"/>
  <c r="CU18" i="176"/>
  <c r="AV62" i="176"/>
  <c r="AU62" i="176" s="1"/>
  <c r="BQ62" i="176" s="1"/>
  <c r="CG62" i="176"/>
  <c r="BR62" i="176" s="1"/>
  <c r="EB34" i="176"/>
  <c r="CI34" i="176"/>
  <c r="DP12" i="176"/>
  <c r="DJ12" i="176" s="1"/>
  <c r="CN12" i="176"/>
  <c r="BR15" i="176"/>
  <c r="BB200" i="176"/>
  <c r="BX17" i="176"/>
  <c r="AV17" i="176"/>
  <c r="CL61" i="176"/>
  <c r="BR61" i="176" s="1"/>
  <c r="Y61" i="176"/>
  <c r="AU61" i="176" s="1"/>
  <c r="BQ61" i="176" s="1"/>
  <c r="ED61" i="176"/>
  <c r="DJ61" i="176" s="1"/>
  <c r="DY34" i="176"/>
  <c r="H19" i="176"/>
  <c r="AV31" i="176"/>
  <c r="AU31" i="176" s="1"/>
  <c r="BQ31" i="176" s="1"/>
  <c r="CF31" i="176"/>
  <c r="BR31" i="176" s="1"/>
  <c r="H41" i="176"/>
  <c r="H9" i="176"/>
  <c r="I16" i="176"/>
  <c r="AN200" i="176"/>
  <c r="DY17" i="176"/>
  <c r="Y17" i="176"/>
  <c r="BX18" i="176"/>
  <c r="BR18" i="176" s="1"/>
  <c r="AV18" i="176"/>
  <c r="AU18" i="176" s="1"/>
  <c r="BQ18" i="176" s="1"/>
  <c r="CU201" i="176"/>
  <c r="CN44" i="176"/>
  <c r="DQ44" i="176"/>
  <c r="CU67" i="176"/>
  <c r="H4" i="176"/>
  <c r="CM4" i="176"/>
  <c r="DI4" i="176" s="1"/>
  <c r="DS202" i="176"/>
  <c r="DS34" i="176"/>
  <c r="BR16" i="176"/>
  <c r="CG17" i="176"/>
  <c r="CG200" i="176" s="1"/>
  <c r="H31" i="176"/>
  <c r="I31" i="176" s="1"/>
  <c r="CM31" i="176"/>
  <c r="DI31" i="176" s="1"/>
  <c r="I33" i="176"/>
  <c r="EA201" i="176"/>
  <c r="EA67" i="176"/>
  <c r="DP38" i="176"/>
  <c r="DJ38" i="176" s="1"/>
  <c r="Y38" i="176"/>
  <c r="I38" i="176" s="1"/>
  <c r="BX38" i="176"/>
  <c r="BR38" i="176" s="1"/>
  <c r="BY202" i="176"/>
  <c r="CH34" i="176"/>
  <c r="CW201" i="176"/>
  <c r="CW67" i="176"/>
  <c r="CW196" i="176" s="1"/>
  <c r="DS48" i="176"/>
  <c r="DS67" i="176" s="1"/>
  <c r="CK201" i="176"/>
  <c r="CK67" i="176"/>
  <c r="DN60" i="176"/>
  <c r="CN60" i="176"/>
  <c r="H78" i="176"/>
  <c r="I78" i="176" s="1"/>
  <c r="CM78" i="176"/>
  <c r="DI78" i="176" s="1"/>
  <c r="DQ81" i="176"/>
  <c r="BY81" i="176"/>
  <c r="Y81" i="176"/>
  <c r="AU81" i="176" s="1"/>
  <c r="BQ81" i="176" s="1"/>
  <c r="AF104" i="176"/>
  <c r="H83" i="176"/>
  <c r="H101" i="176"/>
  <c r="Y102" i="176"/>
  <c r="DP102" i="176"/>
  <c r="CN125" i="176"/>
  <c r="EA125" i="176"/>
  <c r="CA198" i="176"/>
  <c r="CA194" i="176"/>
  <c r="BR131" i="176"/>
  <c r="I137" i="176"/>
  <c r="DJ151" i="176"/>
  <c r="CA202" i="176"/>
  <c r="CI201" i="176"/>
  <c r="DK202" i="176"/>
  <c r="DK34" i="176"/>
  <c r="DV202" i="176"/>
  <c r="DV34" i="176"/>
  <c r="BP202" i="176"/>
  <c r="BP34" i="176"/>
  <c r="AV13" i="176"/>
  <c r="AU13" i="176" s="1"/>
  <c r="BQ13" i="176" s="1"/>
  <c r="CN13" i="176"/>
  <c r="BV200" i="176"/>
  <c r="CI200" i="176"/>
  <c r="DN200" i="176"/>
  <c r="DZ200" i="176"/>
  <c r="BX25" i="176"/>
  <c r="BR25" i="176" s="1"/>
  <c r="DJ26" i="176"/>
  <c r="CM32" i="176"/>
  <c r="DI32" i="176" s="1"/>
  <c r="AG196" i="176"/>
  <c r="CJ34" i="176"/>
  <c r="DB34" i="176"/>
  <c r="BR52" i="176"/>
  <c r="CM53" i="176"/>
  <c r="DI53" i="176" s="1"/>
  <c r="H53" i="176"/>
  <c r="I53" i="176" s="1"/>
  <c r="AU54" i="176"/>
  <c r="BQ54" i="176" s="1"/>
  <c r="DJ56" i="176"/>
  <c r="CM63" i="176"/>
  <c r="DI63" i="176" s="1"/>
  <c r="BN67" i="176"/>
  <c r="BN196" i="176" s="1"/>
  <c r="Y82" i="176"/>
  <c r="AU82" i="176" s="1"/>
  <c r="BQ82" i="176" s="1"/>
  <c r="ED82" i="176"/>
  <c r="DJ82" i="176" s="1"/>
  <c r="CL82" i="176"/>
  <c r="BR82" i="176" s="1"/>
  <c r="DJ109" i="176"/>
  <c r="AU125" i="176"/>
  <c r="BQ125" i="176" s="1"/>
  <c r="BV146" i="176"/>
  <c r="Y146" i="176"/>
  <c r="AU146" i="176" s="1"/>
  <c r="BQ146" i="176" s="1"/>
  <c r="DN146" i="176"/>
  <c r="DJ146" i="176" s="1"/>
  <c r="DT202" i="176"/>
  <c r="AX196" i="176"/>
  <c r="BU196" i="176"/>
  <c r="AX201" i="176"/>
  <c r="AX204" i="176" s="1"/>
  <c r="AX206" i="176" s="1"/>
  <c r="AV37" i="176"/>
  <c r="BT54" i="176"/>
  <c r="BR54" i="176" s="1"/>
  <c r="DL54" i="176"/>
  <c r="BR65" i="176"/>
  <c r="BJ202" i="176"/>
  <c r="BJ34" i="176"/>
  <c r="DL202" i="176"/>
  <c r="DW202" i="176"/>
  <c r="DW34" i="176"/>
  <c r="CF9" i="176"/>
  <c r="BR9" i="176" s="1"/>
  <c r="AE202" i="176"/>
  <c r="DP11" i="176"/>
  <c r="DJ11" i="176" s="1"/>
  <c r="CL17" i="176"/>
  <c r="Y22" i="176"/>
  <c r="I22" i="176" s="1"/>
  <c r="CG23" i="176"/>
  <c r="BR23" i="176" s="1"/>
  <c r="Y23" i="176"/>
  <c r="BR24" i="176"/>
  <c r="CN25" i="176"/>
  <c r="DC34" i="176"/>
  <c r="BB201" i="176"/>
  <c r="BB67" i="176"/>
  <c r="CR201" i="176"/>
  <c r="CR67" i="176"/>
  <c r="BL201" i="176"/>
  <c r="CN39" i="176"/>
  <c r="DP39" i="176"/>
  <c r="H42" i="176"/>
  <c r="I42" i="176" s="1"/>
  <c r="H43" i="176"/>
  <c r="I43" i="176" s="1"/>
  <c r="AS201" i="176"/>
  <c r="AS67" i="176"/>
  <c r="Y46" i="176"/>
  <c r="AU46" i="176" s="1"/>
  <c r="BQ46" i="176" s="1"/>
  <c r="ED46" i="176"/>
  <c r="DJ46" i="176" s="1"/>
  <c r="DL49" i="176"/>
  <c r="DJ49" i="176" s="1"/>
  <c r="Y49" i="176"/>
  <c r="AV55" i="176"/>
  <c r="AU55" i="176" s="1"/>
  <c r="BQ55" i="176" s="1"/>
  <c r="BI67" i="176"/>
  <c r="BI201" i="176"/>
  <c r="CE55" i="176"/>
  <c r="CE67" i="176" s="1"/>
  <c r="CT67" i="176"/>
  <c r="AN203" i="176"/>
  <c r="DY71" i="176"/>
  <c r="DJ71" i="176" s="1"/>
  <c r="Y71" i="176"/>
  <c r="CG71" i="176"/>
  <c r="BR71" i="176" s="1"/>
  <c r="CD104" i="176"/>
  <c r="H80" i="176"/>
  <c r="I80" i="176" s="1"/>
  <c r="CM80" i="176"/>
  <c r="DI80" i="176" s="1"/>
  <c r="BR93" i="176"/>
  <c r="AA205" i="176"/>
  <c r="AA128" i="176"/>
  <c r="BT105" i="176"/>
  <c r="Y105" i="176"/>
  <c r="CM105" i="176" s="1"/>
  <c r="DI105" i="176" s="1"/>
  <c r="DL105" i="176"/>
  <c r="CA205" i="176"/>
  <c r="CA128" i="176"/>
  <c r="AV121" i="176"/>
  <c r="H158" i="176"/>
  <c r="H30" i="176"/>
  <c r="I30" i="176" s="1"/>
  <c r="DC201" i="176"/>
  <c r="DC67" i="176"/>
  <c r="BR57" i="176"/>
  <c r="DX65" i="176"/>
  <c r="DJ65" i="176" s="1"/>
  <c r="CN65" i="176"/>
  <c r="DS203" i="176"/>
  <c r="DS104" i="176"/>
  <c r="CU203" i="176"/>
  <c r="CN74" i="176"/>
  <c r="DQ74" i="176"/>
  <c r="DJ74" i="176" s="1"/>
  <c r="BP205" i="176"/>
  <c r="AV108" i="176"/>
  <c r="BP128" i="176"/>
  <c r="CB205" i="176"/>
  <c r="CB128" i="176"/>
  <c r="CL108" i="176"/>
  <c r="CD194" i="176"/>
  <c r="I131" i="176"/>
  <c r="BB199" i="176"/>
  <c r="BX169" i="176"/>
  <c r="BX199" i="176" s="1"/>
  <c r="AV169" i="176"/>
  <c r="AU169" i="176" s="1"/>
  <c r="BQ169" i="176" s="1"/>
  <c r="BS202" i="176"/>
  <c r="BS34" i="176"/>
  <c r="BR4" i="176"/>
  <c r="DO202" i="176"/>
  <c r="DO34" i="176"/>
  <c r="AN202" i="176"/>
  <c r="AN34" i="176"/>
  <c r="DH200" i="176"/>
  <c r="CT17" i="176"/>
  <c r="CT34" i="176" s="1"/>
  <c r="DS200" i="176"/>
  <c r="ED17" i="176"/>
  <c r="ED200" i="176" s="1"/>
  <c r="CM22" i="176"/>
  <c r="DI22" i="176" s="1"/>
  <c r="BK202" i="176"/>
  <c r="AV23" i="176"/>
  <c r="DX27" i="176"/>
  <c r="DJ27" i="176" s="1"/>
  <c r="CF27" i="176"/>
  <c r="BR27" i="176" s="1"/>
  <c r="AS34" i="176"/>
  <c r="DV67" i="176"/>
  <c r="H40" i="176"/>
  <c r="I40" i="176" s="1"/>
  <c r="CM40" i="176"/>
  <c r="DI40" i="176" s="1"/>
  <c r="DP41" i="176"/>
  <c r="DJ41" i="176" s="1"/>
  <c r="BX41" i="176"/>
  <c r="BR41" i="176" s="1"/>
  <c r="Y41" i="176"/>
  <c r="I41" i="176" s="1"/>
  <c r="DJ63" i="176"/>
  <c r="DO194" i="176"/>
  <c r="BV153" i="176"/>
  <c r="BR153" i="176" s="1"/>
  <c r="DN153" i="176"/>
  <c r="DJ153" i="176" s="1"/>
  <c r="Y153" i="176"/>
  <c r="I153" i="176" s="1"/>
  <c r="BT202" i="176"/>
  <c r="CE202" i="176"/>
  <c r="EA202" i="176"/>
  <c r="Y9" i="176"/>
  <c r="CM9" i="176" s="1"/>
  <c r="DI9" i="176" s="1"/>
  <c r="CT202" i="176"/>
  <c r="CN11" i="176"/>
  <c r="CE200" i="176"/>
  <c r="DT200" i="176"/>
  <c r="CB34" i="176"/>
  <c r="AA201" i="176"/>
  <c r="AA67" i="176"/>
  <c r="BT35" i="176"/>
  <c r="CI67" i="176"/>
  <c r="DM201" i="176"/>
  <c r="AU36" i="176"/>
  <c r="BQ36" i="176" s="1"/>
  <c r="DY39" i="176"/>
  <c r="CC67" i="176"/>
  <c r="AV44" i="176"/>
  <c r="AU44" i="176" s="1"/>
  <c r="BQ44" i="176" s="1"/>
  <c r="AM201" i="176"/>
  <c r="CF47" i="176"/>
  <c r="DM47" i="176"/>
  <c r="DX47" i="176"/>
  <c r="AN67" i="176"/>
  <c r="CG50" i="176"/>
  <c r="Y50" i="176"/>
  <c r="AU50" i="176" s="1"/>
  <c r="BQ50" i="176" s="1"/>
  <c r="CL51" i="176"/>
  <c r="BR51" i="176" s="1"/>
  <c r="ED51" i="176"/>
  <c r="BR56" i="176"/>
  <c r="H57" i="176"/>
  <c r="I57" i="176" s="1"/>
  <c r="CM57" i="176"/>
  <c r="DI57" i="176" s="1"/>
  <c r="H66" i="176"/>
  <c r="CD67" i="176"/>
  <c r="CN71" i="176"/>
  <c r="CM84" i="176"/>
  <c r="DI84" i="176" s="1"/>
  <c r="H84" i="176"/>
  <c r="BV128" i="176"/>
  <c r="BV205" i="176"/>
  <c r="DS205" i="176"/>
  <c r="DS128" i="176"/>
  <c r="EB205" i="176"/>
  <c r="EB128" i="176"/>
  <c r="H106" i="176"/>
  <c r="I106" i="176" s="1"/>
  <c r="CM106" i="176"/>
  <c r="DI106" i="176" s="1"/>
  <c r="BR110" i="176"/>
  <c r="DN154" i="176"/>
  <c r="DJ154" i="176" s="1"/>
  <c r="Y154" i="176"/>
  <c r="I154" i="176" s="1"/>
  <c r="BV154" i="176"/>
  <c r="BR154" i="176" s="1"/>
  <c r="CM182" i="176"/>
  <c r="DI182" i="176" s="1"/>
  <c r="H182" i="176"/>
  <c r="I182" i="176" s="1"/>
  <c r="BR26" i="176"/>
  <c r="DW201" i="176"/>
  <c r="DW67" i="176"/>
  <c r="DJ45" i="176"/>
  <c r="ED59" i="176"/>
  <c r="DJ59" i="176" s="1"/>
  <c r="Y59" i="176"/>
  <c r="CD202" i="176"/>
  <c r="CF32" i="176"/>
  <c r="BR32" i="176" s="1"/>
  <c r="AV32" i="176"/>
  <c r="AU32" i="176" s="1"/>
  <c r="BQ32" i="176" s="1"/>
  <c r="DJ32" i="176"/>
  <c r="CA34" i="176"/>
  <c r="BS201" i="176"/>
  <c r="BS67" i="176"/>
  <c r="DL36" i="176"/>
  <c r="DJ36" i="176" s="1"/>
  <c r="BT36" i="176"/>
  <c r="BR36" i="176" s="1"/>
  <c r="DJ42" i="176"/>
  <c r="BP201" i="176"/>
  <c r="BP67" i="176"/>
  <c r="BT48" i="176"/>
  <c r="Y48" i="176"/>
  <c r="DL48" i="176"/>
  <c r="H64" i="176"/>
  <c r="CH203" i="176"/>
  <c r="CH104" i="176"/>
  <c r="DJ102" i="176"/>
  <c r="DB202" i="176"/>
  <c r="DX4" i="176"/>
  <c r="DQ202" i="176"/>
  <c r="EB202" i="176"/>
  <c r="CM15" i="176"/>
  <c r="DI15" i="176" s="1"/>
  <c r="CF200" i="176"/>
  <c r="DV200" i="176"/>
  <c r="AF34" i="176"/>
  <c r="AV30" i="176"/>
  <c r="AU30" i="176" s="1"/>
  <c r="BQ30" i="176" s="1"/>
  <c r="CF30" i="176"/>
  <c r="BR30" i="176" s="1"/>
  <c r="DJ30" i="176"/>
  <c r="CD34" i="176"/>
  <c r="DT34" i="176"/>
  <c r="AC201" i="176"/>
  <c r="AC67" i="176"/>
  <c r="BV35" i="176"/>
  <c r="DN35" i="176"/>
  <c r="DJ35" i="176" s="1"/>
  <c r="BT37" i="176"/>
  <c r="BR37" i="176" s="1"/>
  <c r="DL37" i="176"/>
  <c r="BX39" i="176"/>
  <c r="AV45" i="176"/>
  <c r="AU45" i="176" s="1"/>
  <c r="BQ45" i="176" s="1"/>
  <c r="BR49" i="176"/>
  <c r="CL50" i="176"/>
  <c r="ED50" i="176"/>
  <c r="DJ50" i="176" s="1"/>
  <c r="H51" i="176"/>
  <c r="I51" i="176" s="1"/>
  <c r="CM51" i="176"/>
  <c r="DI51" i="176" s="1"/>
  <c r="DJ55" i="176"/>
  <c r="DZ104" i="176"/>
  <c r="AA203" i="176"/>
  <c r="AA104" i="176"/>
  <c r="DL78" i="176"/>
  <c r="BT78" i="176"/>
  <c r="BT203" i="176" s="1"/>
  <c r="DJ87" i="176"/>
  <c r="AU98" i="176"/>
  <c r="BQ98" i="176" s="1"/>
  <c r="CZ199" i="176"/>
  <c r="CZ204" i="176" s="1"/>
  <c r="CZ206" i="176" s="1"/>
  <c r="CZ194" i="176"/>
  <c r="CZ196" i="176" s="1"/>
  <c r="DV152" i="176"/>
  <c r="DJ152" i="176" s="1"/>
  <c r="CN152" i="176"/>
  <c r="BY35" i="176"/>
  <c r="CP67" i="176"/>
  <c r="CP196" i="176" s="1"/>
  <c r="CA201" i="176"/>
  <c r="BR39" i="176"/>
  <c r="DF201" i="176"/>
  <c r="DF204" i="176" s="1"/>
  <c r="DF206" i="176" s="1"/>
  <c r="EB39" i="176"/>
  <c r="EB67" i="176" s="1"/>
  <c r="DF67" i="176"/>
  <c r="DF196" i="176" s="1"/>
  <c r="BT44" i="176"/>
  <c r="BZ201" i="176"/>
  <c r="BZ204" i="176" s="1"/>
  <c r="BZ206" i="176" s="1"/>
  <c r="BZ67" i="176"/>
  <c r="BZ196" i="176" s="1"/>
  <c r="AU51" i="176"/>
  <c r="BQ51" i="176" s="1"/>
  <c r="DA201" i="176"/>
  <c r="DA67" i="176"/>
  <c r="DA196" i="176" s="1"/>
  <c r="CL53" i="176"/>
  <c r="BR53" i="176" s="1"/>
  <c r="DJ57" i="176"/>
  <c r="H58" i="176"/>
  <c r="ED64" i="176"/>
  <c r="AF67" i="176"/>
  <c r="EA203" i="176"/>
  <c r="EA104" i="176"/>
  <c r="AV73" i="176"/>
  <c r="AU73" i="176" s="1"/>
  <c r="BQ73" i="176" s="1"/>
  <c r="CL73" i="176"/>
  <c r="BR81" i="176"/>
  <c r="AV90" i="176"/>
  <c r="AU90" i="176" s="1"/>
  <c r="BQ90" i="176" s="1"/>
  <c r="CG90" i="176"/>
  <c r="BR90" i="176" s="1"/>
  <c r="DP205" i="176"/>
  <c r="DP128" i="176"/>
  <c r="BR106" i="176"/>
  <c r="AW205" i="176"/>
  <c r="AW128" i="176"/>
  <c r="AW196" i="176" s="1"/>
  <c r="AV111" i="176"/>
  <c r="AU111" i="176" s="1"/>
  <c r="BQ111" i="176" s="1"/>
  <c r="BS111" i="176"/>
  <c r="BR111" i="176" s="1"/>
  <c r="CM111" i="176"/>
  <c r="DI111" i="176" s="1"/>
  <c r="AV130" i="176"/>
  <c r="AU130" i="176" s="1"/>
  <c r="BQ130" i="176" s="1"/>
  <c r="BB194" i="176"/>
  <c r="BX130" i="176"/>
  <c r="BR130" i="176" s="1"/>
  <c r="AU151" i="176"/>
  <c r="BQ151" i="176" s="1"/>
  <c r="CL171" i="176"/>
  <c r="BR171" i="176" s="1"/>
  <c r="AV171" i="176"/>
  <c r="H176" i="176"/>
  <c r="I176" i="176" s="1"/>
  <c r="CM176" i="176"/>
  <c r="DI176" i="176" s="1"/>
  <c r="EC202" i="176"/>
  <c r="H180" i="176"/>
  <c r="I180" i="176" s="1"/>
  <c r="CM180" i="176"/>
  <c r="DI180" i="176" s="1"/>
  <c r="CC202" i="176"/>
  <c r="DN34" i="176"/>
  <c r="AM202" i="176"/>
  <c r="AS202" i="176"/>
  <c r="BB202" i="176"/>
  <c r="BB34" i="176"/>
  <c r="EA200" i="176"/>
  <c r="BL202" i="176"/>
  <c r="AV22" i="176"/>
  <c r="AU22" i="176" s="1"/>
  <c r="DD202" i="176"/>
  <c r="DZ22" i="176"/>
  <c r="DJ22" i="176" s="1"/>
  <c r="BG196" i="176"/>
  <c r="CC34" i="176"/>
  <c r="CQ201" i="176"/>
  <c r="CQ204" i="176" s="1"/>
  <c r="CQ206" i="176" s="1"/>
  <c r="CQ67" i="176"/>
  <c r="CQ196" i="176" s="1"/>
  <c r="AU42" i="176"/>
  <c r="BQ42" i="176" s="1"/>
  <c r="BC201" i="176"/>
  <c r="BC67" i="176"/>
  <c r="BY44" i="176"/>
  <c r="DL44" i="176"/>
  <c r="DJ44" i="176" s="1"/>
  <c r="DQ48" i="176"/>
  <c r="CN48" i="176"/>
  <c r="CN50" i="176"/>
  <c r="BR58" i="176"/>
  <c r="Y60" i="176"/>
  <c r="Y64" i="176"/>
  <c r="CM70" i="176"/>
  <c r="DI70" i="176" s="1"/>
  <c r="H70" i="176"/>
  <c r="I70" i="176" s="1"/>
  <c r="CJ203" i="176"/>
  <c r="CJ104" i="176"/>
  <c r="AV76" i="176"/>
  <c r="AU76" i="176" s="1"/>
  <c r="BQ76" i="176" s="1"/>
  <c r="BR78" i="176"/>
  <c r="CM86" i="176"/>
  <c r="DI86" i="176" s="1"/>
  <c r="DA203" i="176"/>
  <c r="CN87" i="176"/>
  <c r="AV91" i="176"/>
  <c r="AU91" i="176" s="1"/>
  <c r="BQ91" i="176" s="1"/>
  <c r="H95" i="176"/>
  <c r="DP98" i="176"/>
  <c r="DJ98" i="176" s="1"/>
  <c r="H103" i="176"/>
  <c r="I103" i="176" s="1"/>
  <c r="CM103" i="176"/>
  <c r="DI103" i="176" s="1"/>
  <c r="BY128" i="176"/>
  <c r="DJ106" i="176"/>
  <c r="CC205" i="176"/>
  <c r="CC128" i="176"/>
  <c r="BR126" i="176"/>
  <c r="DJ129" i="176"/>
  <c r="DZ194" i="176"/>
  <c r="Y136" i="176"/>
  <c r="DN136" i="176"/>
  <c r="DJ136" i="176" s="1"/>
  <c r="AV137" i="176"/>
  <c r="AU137" i="176" s="1"/>
  <c r="BQ137" i="176" s="1"/>
  <c r="EB194" i="176"/>
  <c r="BT165" i="176"/>
  <c r="BT194" i="176" s="1"/>
  <c r="Y165" i="176"/>
  <c r="I165" i="176" s="1"/>
  <c r="AA199" i="176"/>
  <c r="DL165" i="176"/>
  <c r="AA194" i="176"/>
  <c r="I170" i="176"/>
  <c r="CM170" i="176"/>
  <c r="DI170" i="176" s="1"/>
  <c r="AV177" i="176"/>
  <c r="CH177" i="176"/>
  <c r="CH202" i="176" s="1"/>
  <c r="CM179" i="176"/>
  <c r="DI179" i="176" s="1"/>
  <c r="H179" i="176"/>
  <c r="I179" i="176" s="1"/>
  <c r="AU53" i="176"/>
  <c r="BQ53" i="176" s="1"/>
  <c r="BT60" i="176"/>
  <c r="CB203" i="176"/>
  <c r="CB104" i="176"/>
  <c r="AU70" i="176"/>
  <c r="BQ70" i="176" s="1"/>
  <c r="DJ77" i="176"/>
  <c r="AL203" i="176"/>
  <c r="AL204" i="176" s="1"/>
  <c r="AL206" i="176" s="1"/>
  <c r="AL104" i="176"/>
  <c r="AL196" i="176" s="1"/>
  <c r="CE87" i="176"/>
  <c r="BR87" i="176" s="1"/>
  <c r="DW87" i="176"/>
  <c r="DW104" i="176" s="1"/>
  <c r="BR88" i="176"/>
  <c r="CM98" i="176"/>
  <c r="DI98" i="176" s="1"/>
  <c r="H98" i="176"/>
  <c r="I98" i="176" s="1"/>
  <c r="AU103" i="176"/>
  <c r="BQ103" i="176" s="1"/>
  <c r="CD205" i="176"/>
  <c r="CD128" i="176"/>
  <c r="DE205" i="176"/>
  <c r="DE128" i="176"/>
  <c r="CN117" i="176"/>
  <c r="DX117" i="176"/>
  <c r="CN126" i="176"/>
  <c r="DC205" i="176"/>
  <c r="DY126" i="176"/>
  <c r="DY128" i="176" s="1"/>
  <c r="CR194" i="176"/>
  <c r="CN133" i="176"/>
  <c r="CR198" i="176"/>
  <c r="H147" i="176"/>
  <c r="CT199" i="176"/>
  <c r="DP169" i="176"/>
  <c r="CN169" i="176"/>
  <c r="BK201" i="176"/>
  <c r="BK67" i="176"/>
  <c r="BX43" i="176"/>
  <c r="BR43" i="176" s="1"/>
  <c r="AV49" i="176"/>
  <c r="DZ54" i="176"/>
  <c r="CN54" i="176"/>
  <c r="Y58" i="176"/>
  <c r="CM58" i="176" s="1"/>
  <c r="DI58" i="176" s="1"/>
  <c r="BV58" i="176"/>
  <c r="BR59" i="176"/>
  <c r="BR63" i="176"/>
  <c r="AV65" i="176"/>
  <c r="AU65" i="176" s="1"/>
  <c r="BQ65" i="176" s="1"/>
  <c r="AU66" i="176"/>
  <c r="BQ66" i="176" s="1"/>
  <c r="DJ90" i="176"/>
  <c r="BR91" i="176"/>
  <c r="DJ93" i="176"/>
  <c r="DJ94" i="176"/>
  <c r="BR102" i="176"/>
  <c r="BR103" i="176"/>
  <c r="CI106" i="176"/>
  <c r="AV106" i="176"/>
  <c r="AU106" i="176" s="1"/>
  <c r="BQ106" i="176" s="1"/>
  <c r="EA198" i="176"/>
  <c r="CM137" i="176"/>
  <c r="DI137" i="176" s="1"/>
  <c r="H137" i="176"/>
  <c r="BR158" i="176"/>
  <c r="Z196" i="176"/>
  <c r="AH196" i="176"/>
  <c r="AP196" i="176"/>
  <c r="DE196" i="176"/>
  <c r="BU201" i="176"/>
  <c r="BU204" i="176" s="1"/>
  <c r="BU206" i="176" s="1"/>
  <c r="CT201" i="176"/>
  <c r="AO201" i="176"/>
  <c r="DZ37" i="176"/>
  <c r="DB201" i="176"/>
  <c r="AZ67" i="176"/>
  <c r="BR68" i="176"/>
  <c r="CC203" i="176"/>
  <c r="BK104" i="176"/>
  <c r="DJ75" i="176"/>
  <c r="CM76" i="176"/>
  <c r="DI76" i="176" s="1"/>
  <c r="H76" i="176"/>
  <c r="I76" i="176" s="1"/>
  <c r="CM79" i="176"/>
  <c r="DI79" i="176" s="1"/>
  <c r="H79" i="176"/>
  <c r="I79" i="176" s="1"/>
  <c r="Y85" i="176"/>
  <c r="I85" i="176" s="1"/>
  <c r="CL85" i="176"/>
  <c r="BR85" i="176" s="1"/>
  <c r="BI203" i="176"/>
  <c r="BI104" i="176"/>
  <c r="AV87" i="176"/>
  <c r="AU87" i="176" s="1"/>
  <c r="BQ87" i="176" s="1"/>
  <c r="H93" i="176"/>
  <c r="I93" i="176" s="1"/>
  <c r="CM93" i="176"/>
  <c r="DI93" i="176" s="1"/>
  <c r="Y101" i="176"/>
  <c r="DN101" i="176"/>
  <c r="DJ101" i="176" s="1"/>
  <c r="BV101" i="176"/>
  <c r="BR101" i="176" s="1"/>
  <c r="BM205" i="176"/>
  <c r="AV105" i="176"/>
  <c r="CE205" i="176"/>
  <c r="CI107" i="176"/>
  <c r="BR107" i="176" s="1"/>
  <c r="BJ205" i="176"/>
  <c r="BJ128" i="176"/>
  <c r="CM114" i="176"/>
  <c r="DI114" i="176" s="1"/>
  <c r="AM205" i="176"/>
  <c r="CF121" i="176"/>
  <c r="BR121" i="176" s="1"/>
  <c r="Y121" i="176"/>
  <c r="AM128" i="176"/>
  <c r="AM196" i="176" s="1"/>
  <c r="DJ125" i="176"/>
  <c r="CC198" i="176"/>
  <c r="AU132" i="176"/>
  <c r="BQ132" i="176" s="1"/>
  <c r="BR144" i="176"/>
  <c r="BR146" i="176"/>
  <c r="CM151" i="176"/>
  <c r="DI151" i="176" s="1"/>
  <c r="H151" i="176"/>
  <c r="H157" i="176"/>
  <c r="AV167" i="176"/>
  <c r="BV167" i="176"/>
  <c r="CD200" i="176"/>
  <c r="DO200" i="176"/>
  <c r="AF200" i="176"/>
  <c r="AA200" i="176"/>
  <c r="Y28" i="176"/>
  <c r="AA34" i="176"/>
  <c r="AQ196" i="176"/>
  <c r="CX196" i="176"/>
  <c r="AV35" i="176"/>
  <c r="CH201" i="176"/>
  <c r="DT201" i="176"/>
  <c r="CN36" i="176"/>
  <c r="CC201" i="176"/>
  <c r="BX42" i="176"/>
  <c r="BR42" i="176" s="1"/>
  <c r="AV56" i="176"/>
  <c r="AU56" i="176" s="1"/>
  <c r="BQ56" i="176" s="1"/>
  <c r="Y66" i="176"/>
  <c r="CH67" i="176"/>
  <c r="BS203" i="176"/>
  <c r="BS104" i="176"/>
  <c r="CD203" i="176"/>
  <c r="DH203" i="176"/>
  <c r="CN68" i="176"/>
  <c r="DH104" i="176"/>
  <c r="DV203" i="176"/>
  <c r="DC203" i="176"/>
  <c r="DC104" i="176"/>
  <c r="DY70" i="176"/>
  <c r="DY104" i="176" s="1"/>
  <c r="AV71" i="176"/>
  <c r="ED73" i="176"/>
  <c r="DJ73" i="176" s="1"/>
  <c r="Y74" i="176"/>
  <c r="AU74" i="176" s="1"/>
  <c r="BQ74" i="176" s="1"/>
  <c r="AF203" i="176"/>
  <c r="BX75" i="176"/>
  <c r="BR75" i="176" s="1"/>
  <c r="AV75" i="176"/>
  <c r="AU75" i="176" s="1"/>
  <c r="BQ75" i="176" s="1"/>
  <c r="Y77" i="176"/>
  <c r="AU78" i="176"/>
  <c r="BQ78" i="176" s="1"/>
  <c r="ED80" i="176"/>
  <c r="DJ80" i="176" s="1"/>
  <c r="CL80" i="176"/>
  <c r="BR80" i="176" s="1"/>
  <c r="DJ81" i="176"/>
  <c r="ED85" i="176"/>
  <c r="DJ85" i="176" s="1"/>
  <c r="I94" i="176"/>
  <c r="CM94" i="176"/>
  <c r="DI94" i="176" s="1"/>
  <c r="DJ96" i="176"/>
  <c r="BX101" i="176"/>
  <c r="DV104" i="176"/>
  <c r="CF205" i="176"/>
  <c r="AO205" i="176"/>
  <c r="DZ123" i="176"/>
  <c r="DZ205" i="176" s="1"/>
  <c r="Y123" i="176"/>
  <c r="BR127" i="176"/>
  <c r="BS194" i="176"/>
  <c r="BR129" i="176"/>
  <c r="CC194" i="176"/>
  <c r="DT194" i="176"/>
  <c r="AU131" i="176"/>
  <c r="BQ131" i="176" s="1"/>
  <c r="CM132" i="176"/>
  <c r="DI132" i="176" s="1"/>
  <c r="CJ198" i="176"/>
  <c r="CJ194" i="176"/>
  <c r="DH194" i="176"/>
  <c r="DN150" i="176"/>
  <c r="DJ150" i="176" s="1"/>
  <c r="Y150" i="176"/>
  <c r="I150" i="176" s="1"/>
  <c r="BV150" i="176"/>
  <c r="BR150" i="176" s="1"/>
  <c r="CR199" i="176"/>
  <c r="DX199" i="176"/>
  <c r="H167" i="176"/>
  <c r="ED168" i="176"/>
  <c r="DJ168" i="176" s="1"/>
  <c r="Y168" i="176"/>
  <c r="CL168" i="176"/>
  <c r="AR196" i="176"/>
  <c r="DV201" i="176"/>
  <c r="CP201" i="176"/>
  <c r="DD201" i="176"/>
  <c r="AN201" i="176"/>
  <c r="DH201" i="176"/>
  <c r="BJ201" i="176"/>
  <c r="BJ67" i="176"/>
  <c r="DH67" i="176"/>
  <c r="CE203" i="176"/>
  <c r="DW203" i="176"/>
  <c r="DJ70" i="176"/>
  <c r="BR76" i="176"/>
  <c r="AU80" i="176"/>
  <c r="BQ80" i="176" s="1"/>
  <c r="AU96" i="176"/>
  <c r="BQ96" i="176" s="1"/>
  <c r="CN96" i="176"/>
  <c r="BR98" i="176"/>
  <c r="DJ99" i="176"/>
  <c r="DW205" i="176"/>
  <c r="CN107" i="176"/>
  <c r="CO205" i="176"/>
  <c r="CO128" i="176"/>
  <c r="CO196" i="176" s="1"/>
  <c r="BS123" i="176"/>
  <c r="BR123" i="176" s="1"/>
  <c r="AV123" i="176"/>
  <c r="CN123" i="176"/>
  <c r="DW128" i="176"/>
  <c r="CT194" i="176"/>
  <c r="CN129" i="176"/>
  <c r="DN133" i="176"/>
  <c r="AV138" i="176"/>
  <c r="AU138" i="176" s="1"/>
  <c r="BQ138" i="176" s="1"/>
  <c r="BV138" i="176"/>
  <c r="BR138" i="176" s="1"/>
  <c r="DJ144" i="176"/>
  <c r="DY199" i="176"/>
  <c r="AU168" i="176"/>
  <c r="BQ168" i="176" s="1"/>
  <c r="H172" i="176"/>
  <c r="I172" i="176" s="1"/>
  <c r="CM172" i="176"/>
  <c r="DI172" i="176" s="1"/>
  <c r="I173" i="176"/>
  <c r="BV193" i="176"/>
  <c r="BR193" i="176" s="1"/>
  <c r="DN193" i="176"/>
  <c r="DJ193" i="176" s="1"/>
  <c r="AS203" i="176"/>
  <c r="AS104" i="176"/>
  <c r="ED68" i="176"/>
  <c r="BV203" i="176"/>
  <c r="CF203" i="176"/>
  <c r="CF104" i="176"/>
  <c r="DX203" i="176"/>
  <c r="DX104" i="176"/>
  <c r="CT203" i="176"/>
  <c r="CT104" i="176"/>
  <c r="CN69" i="176"/>
  <c r="DJ72" i="176"/>
  <c r="H73" i="176"/>
  <c r="I73" i="176" s="1"/>
  <c r="CM73" i="176"/>
  <c r="DI73" i="176" s="1"/>
  <c r="ED86" i="176"/>
  <c r="DJ86" i="176" s="1"/>
  <c r="CL86" i="176"/>
  <c r="BR86" i="176" s="1"/>
  <c r="Y92" i="176"/>
  <c r="DQ92" i="176"/>
  <c r="Y95" i="176"/>
  <c r="AU95" i="176" s="1"/>
  <c r="BQ95" i="176" s="1"/>
  <c r="DP95" i="176"/>
  <c r="DJ95" i="176" s="1"/>
  <c r="AE104" i="176"/>
  <c r="BW104" i="176"/>
  <c r="AS205" i="176"/>
  <c r="ED108" i="176"/>
  <c r="Y108" i="176"/>
  <c r="DJ111" i="176"/>
  <c r="DJ121" i="176"/>
  <c r="CE194" i="176"/>
  <c r="DW194" i="176"/>
  <c r="CF198" i="176"/>
  <c r="DP198" i="176"/>
  <c r="DZ198" i="176"/>
  <c r="CM134" i="176"/>
  <c r="DI134" i="176" s="1"/>
  <c r="H134" i="176"/>
  <c r="DN135" i="176"/>
  <c r="DJ135" i="176" s="1"/>
  <c r="BV135" i="176"/>
  <c r="BR135" i="176" s="1"/>
  <c r="Y135" i="176"/>
  <c r="EC199" i="176"/>
  <c r="EC194" i="176"/>
  <c r="EC196" i="176" s="1"/>
  <c r="I192" i="176"/>
  <c r="AU192" i="176"/>
  <c r="BQ192" i="176" s="1"/>
  <c r="BN204" i="176"/>
  <c r="BN206" i="176" s="1"/>
  <c r="DN203" i="176"/>
  <c r="DY203" i="176"/>
  <c r="AE203" i="176"/>
  <c r="CG70" i="176"/>
  <c r="BC203" i="176"/>
  <c r="CL79" i="176"/>
  <c r="DT205" i="176"/>
  <c r="DT128" i="176"/>
  <c r="DC128" i="176"/>
  <c r="DB205" i="176"/>
  <c r="BT198" i="176"/>
  <c r="DJ131" i="176"/>
  <c r="DX198" i="176"/>
  <c r="AZ198" i="176"/>
  <c r="BR143" i="176"/>
  <c r="I148" i="176"/>
  <c r="CF199" i="176"/>
  <c r="Y158" i="176"/>
  <c r="CM158" i="176" s="1"/>
  <c r="DI158" i="176" s="1"/>
  <c r="DN158" i="176"/>
  <c r="DJ158" i="176" s="1"/>
  <c r="BR167" i="176"/>
  <c r="CN187" i="176"/>
  <c r="DP187" i="176"/>
  <c r="DJ187" i="176" s="1"/>
  <c r="AU189" i="176"/>
  <c r="BQ189" i="176" s="1"/>
  <c r="AW204" i="176"/>
  <c r="BP203" i="176"/>
  <c r="CA203" i="176"/>
  <c r="CI202" i="176"/>
  <c r="DZ203" i="176"/>
  <c r="BX69" i="176"/>
  <c r="BR69" i="176" s="1"/>
  <c r="DP69" i="176"/>
  <c r="DJ69" i="176" s="1"/>
  <c r="AC203" i="176"/>
  <c r="AZ104" i="176"/>
  <c r="CH205" i="176"/>
  <c r="DK205" i="176"/>
  <c r="DK128" i="176"/>
  <c r="DV205" i="176"/>
  <c r="DH205" i="176"/>
  <c r="DV128" i="176"/>
  <c r="AU129" i="176"/>
  <c r="BQ129" i="176" s="1"/>
  <c r="CG194" i="176"/>
  <c r="BR137" i="176"/>
  <c r="DJ141" i="176"/>
  <c r="DJ147" i="176"/>
  <c r="CG199" i="176"/>
  <c r="DN157" i="176"/>
  <c r="DJ157" i="176" s="1"/>
  <c r="Y157" i="176"/>
  <c r="CM157" i="176" s="1"/>
  <c r="DI157" i="176" s="1"/>
  <c r="BV157" i="176"/>
  <c r="AU158" i="176"/>
  <c r="BQ158" i="176" s="1"/>
  <c r="BY165" i="176"/>
  <c r="BR165" i="176" s="1"/>
  <c r="BQ165" i="176" s="1"/>
  <c r="DQ165" i="176"/>
  <c r="BR172" i="176"/>
  <c r="BR179" i="176"/>
  <c r="BR180" i="176"/>
  <c r="DJ183" i="176"/>
  <c r="BR187" i="176"/>
  <c r="BR189" i="176"/>
  <c r="AZ194" i="176"/>
  <c r="EB203" i="176"/>
  <c r="BB203" i="176"/>
  <c r="DM203" i="176"/>
  <c r="Y83" i="176"/>
  <c r="I83" i="176" s="1"/>
  <c r="AV84" i="176"/>
  <c r="AV89" i="176"/>
  <c r="AU89" i="176" s="1"/>
  <c r="BQ89" i="176" s="1"/>
  <c r="BC104" i="176"/>
  <c r="CA104" i="176"/>
  <c r="CI104" i="176"/>
  <c r="BX205" i="176"/>
  <c r="BX128" i="176"/>
  <c r="BK205" i="176"/>
  <c r="BK128" i="176"/>
  <c r="CG112" i="176"/>
  <c r="BR112" i="176" s="1"/>
  <c r="DB128" i="176"/>
  <c r="CI194" i="176"/>
  <c r="EA194" i="176"/>
  <c r="CM130" i="176"/>
  <c r="DI130" i="176" s="1"/>
  <c r="H130" i="176"/>
  <c r="I130" i="176" s="1"/>
  <c r="BX198" i="176"/>
  <c r="CG198" i="176"/>
  <c r="DQ198" i="176"/>
  <c r="DJ134" i="176"/>
  <c r="AU135" i="176"/>
  <c r="BQ135" i="176" s="1"/>
  <c r="CK198" i="176"/>
  <c r="AC199" i="176"/>
  <c r="BV151" i="176"/>
  <c r="AU157" i="176"/>
  <c r="BQ157" i="176" s="1"/>
  <c r="AF194" i="176"/>
  <c r="AF199" i="176"/>
  <c r="DQ161" i="176"/>
  <c r="DQ194" i="176" s="1"/>
  <c r="BY161" i="176"/>
  <c r="BY194" i="176" s="1"/>
  <c r="Y161" i="176"/>
  <c r="I161" i="176" s="1"/>
  <c r="BR164" i="176"/>
  <c r="CL167" i="176"/>
  <c r="ED167" i="176"/>
  <c r="DJ167" i="176" s="1"/>
  <c r="BV170" i="176"/>
  <c r="BR170" i="176" s="1"/>
  <c r="DN170" i="176"/>
  <c r="CM171" i="176"/>
  <c r="DI171" i="176" s="1"/>
  <c r="H171" i="176"/>
  <c r="I171" i="176" s="1"/>
  <c r="DJ185" i="176"/>
  <c r="DT203" i="176"/>
  <c r="BK203" i="176"/>
  <c r="BX97" i="176"/>
  <c r="BR97" i="176" s="1"/>
  <c r="AC104" i="176"/>
  <c r="DT104" i="176"/>
  <c r="EB104" i="176"/>
  <c r="BY205" i="176"/>
  <c r="DN205" i="176"/>
  <c r="DX114" i="176"/>
  <c r="DX205" i="176" s="1"/>
  <c r="I127" i="176"/>
  <c r="BL128" i="176"/>
  <c r="DD128" i="176"/>
  <c r="CB194" i="176"/>
  <c r="DS194" i="176"/>
  <c r="CI203" i="176"/>
  <c r="CI198" i="176"/>
  <c r="DS198" i="176"/>
  <c r="EB198" i="176"/>
  <c r="BV132" i="176"/>
  <c r="DJ132" i="176"/>
  <c r="AD194" i="176"/>
  <c r="AD196" i="176" s="1"/>
  <c r="AD198" i="176"/>
  <c r="BV139" i="176"/>
  <c r="BR139" i="176" s="1"/>
  <c r="Y139" i="176"/>
  <c r="AU139" i="176" s="1"/>
  <c r="BQ139" i="176" s="1"/>
  <c r="BR141" i="176"/>
  <c r="Y142" i="176"/>
  <c r="I142" i="176" s="1"/>
  <c r="DN142" i="176"/>
  <c r="DJ142" i="176" s="1"/>
  <c r="BV142" i="176"/>
  <c r="BR142" i="176" s="1"/>
  <c r="BR148" i="176"/>
  <c r="Y156" i="176"/>
  <c r="I156" i="176" s="1"/>
  <c r="BV156" i="176"/>
  <c r="BV166" i="176"/>
  <c r="BR166" i="176" s="1"/>
  <c r="Y174" i="176"/>
  <c r="DN174" i="176"/>
  <c r="DJ174" i="176" s="1"/>
  <c r="BR182" i="176"/>
  <c r="BR188" i="176"/>
  <c r="BL200" i="176"/>
  <c r="CH191" i="176"/>
  <c r="CH200" i="176" s="1"/>
  <c r="AV191" i="176"/>
  <c r="AU191" i="176" s="1"/>
  <c r="BQ191" i="176" s="1"/>
  <c r="CM191" i="176"/>
  <c r="DI191" i="176" s="1"/>
  <c r="CS194" i="176"/>
  <c r="CS196" i="176" s="1"/>
  <c r="AC194" i="176"/>
  <c r="AC198" i="176"/>
  <c r="H135" i="176"/>
  <c r="DU198" i="176"/>
  <c r="DU204" i="176" s="1"/>
  <c r="DU206" i="176" s="1"/>
  <c r="DU194" i="176"/>
  <c r="DU196" i="176" s="1"/>
  <c r="DN143" i="176"/>
  <c r="DJ143" i="176" s="1"/>
  <c r="Y144" i="176"/>
  <c r="Y147" i="176"/>
  <c r="I147" i="176" s="1"/>
  <c r="DZ199" i="176"/>
  <c r="AZ199" i="176"/>
  <c r="AV152" i="176"/>
  <c r="AU152" i="176" s="1"/>
  <c r="BQ152" i="176" s="1"/>
  <c r="H160" i="176"/>
  <c r="I160" i="176" s="1"/>
  <c r="DV160" i="176"/>
  <c r="DV194" i="176" s="1"/>
  <c r="BV162" i="176"/>
  <c r="BR162" i="176" s="1"/>
  <c r="DJ172" i="176"/>
  <c r="DJ180" i="176"/>
  <c r="AU183" i="176"/>
  <c r="BQ183" i="176" s="1"/>
  <c r="BH198" i="176"/>
  <c r="CE198" i="176"/>
  <c r="DV198" i="176"/>
  <c r="H132" i="176"/>
  <c r="I132" i="176" s="1"/>
  <c r="BA198" i="176"/>
  <c r="BA204" i="176" s="1"/>
  <c r="BA206" i="176" s="1"/>
  <c r="BA194" i="176"/>
  <c r="BA196" i="176" s="1"/>
  <c r="AS194" i="176"/>
  <c r="CN149" i="176"/>
  <c r="CB199" i="176"/>
  <c r="CD152" i="176"/>
  <c r="CD199" i="176" s="1"/>
  <c r="BH199" i="176"/>
  <c r="ED163" i="176"/>
  <c r="DJ163" i="176" s="1"/>
  <c r="Y163" i="176"/>
  <c r="CL163" i="176"/>
  <c r="CL194" i="176" s="1"/>
  <c r="DN181" i="176"/>
  <c r="DJ181" i="176" s="1"/>
  <c r="Y181" i="176"/>
  <c r="BV181" i="176"/>
  <c r="BR181" i="176" s="1"/>
  <c r="AY204" i="176"/>
  <c r="AY206" i="176" s="1"/>
  <c r="BW202" i="176"/>
  <c r="CF194" i="176"/>
  <c r="BW198" i="176"/>
  <c r="DW198" i="176"/>
  <c r="BL194" i="176"/>
  <c r="BL196" i="176" s="1"/>
  <c r="CH133" i="176"/>
  <c r="CH194" i="176" s="1"/>
  <c r="ED149" i="176"/>
  <c r="DJ149" i="176" s="1"/>
  <c r="BS199" i="176"/>
  <c r="BR151" i="176"/>
  <c r="CC199" i="176"/>
  <c r="DS199" i="176"/>
  <c r="EB199" i="176"/>
  <c r="CM156" i="176"/>
  <c r="DI156" i="176" s="1"/>
  <c r="DJ160" i="176"/>
  <c r="I162" i="176"/>
  <c r="DM199" i="176"/>
  <c r="DM194" i="176"/>
  <c r="BV163" i="176"/>
  <c r="AV163" i="176"/>
  <c r="DJ164" i="176"/>
  <c r="AU170" i="176"/>
  <c r="BQ170" i="176" s="1"/>
  <c r="I186" i="176"/>
  <c r="DY189" i="176"/>
  <c r="DJ189" i="176" s="1"/>
  <c r="CN189" i="176"/>
  <c r="DP190" i="176"/>
  <c r="DJ190" i="176" s="1"/>
  <c r="BX190" i="176"/>
  <c r="BR190" i="176" s="1"/>
  <c r="Y190" i="176"/>
  <c r="I190" i="176" s="1"/>
  <c r="BW200" i="176"/>
  <c r="CM192" i="176"/>
  <c r="DI192" i="176" s="1"/>
  <c r="AO198" i="176"/>
  <c r="DD198" i="176"/>
  <c r="DX194" i="176"/>
  <c r="BY198" i="176"/>
  <c r="DO198" i="176"/>
  <c r="DY198" i="176"/>
  <c r="AN194" i="176"/>
  <c r="AN198" i="176"/>
  <c r="BP194" i="176"/>
  <c r="CE199" i="176"/>
  <c r="BR157" i="176"/>
  <c r="BP199" i="176"/>
  <c r="I175" i="176"/>
  <c r="DP176" i="176"/>
  <c r="DJ176" i="176" s="1"/>
  <c r="BX176" i="176"/>
  <c r="BR176" i="176" s="1"/>
  <c r="AC202" i="176"/>
  <c r="DN177" i="176"/>
  <c r="DJ177" i="176" s="1"/>
  <c r="BV177" i="176"/>
  <c r="Y177" i="176"/>
  <c r="I177" i="176" s="1"/>
  <c r="DP184" i="176"/>
  <c r="DJ184" i="176" s="1"/>
  <c r="BD204" i="176"/>
  <c r="BD206" i="176" s="1"/>
  <c r="BL198" i="176"/>
  <c r="BT199" i="176"/>
  <c r="EA199" i="176"/>
  <c r="BV155" i="176"/>
  <c r="BR155" i="176" s="1"/>
  <c r="DL162" i="176"/>
  <c r="BR168" i="176"/>
  <c r="BR177" i="176"/>
  <c r="BE204" i="176"/>
  <c r="BE206" i="176" s="1"/>
  <c r="AD199" i="176"/>
  <c r="BO199" i="176"/>
  <c r="BO204" i="176" s="1"/>
  <c r="BO206" i="176" s="1"/>
  <c r="CN163" i="176"/>
  <c r="I184" i="176"/>
  <c r="CH199" i="176"/>
  <c r="DW199" i="176"/>
  <c r="BW156" i="176"/>
  <c r="BW199" i="176" s="1"/>
  <c r="BK194" i="176"/>
  <c r="DN161" i="176"/>
  <c r="BV161" i="176"/>
  <c r="Y167" i="176"/>
  <c r="CK172" i="176"/>
  <c r="CK194" i="176" s="1"/>
  <c r="CK196" i="176" s="1"/>
  <c r="AU181" i="176"/>
  <c r="BQ181" i="176" s="1"/>
  <c r="BX184" i="176"/>
  <c r="BR184" i="176" s="1"/>
  <c r="AV184" i="176"/>
  <c r="AU184" i="176" s="1"/>
  <c r="BQ184" i="176" s="1"/>
  <c r="AU186" i="176"/>
  <c r="BQ186" i="176" s="1"/>
  <c r="BX187" i="176"/>
  <c r="AV187" i="176"/>
  <c r="AU187" i="176" s="1"/>
  <c r="BQ187" i="176" s="1"/>
  <c r="AH204" i="176"/>
  <c r="AH206" i="176" s="1"/>
  <c r="AP204" i="176"/>
  <c r="AP206" i="176" s="1"/>
  <c r="BK199" i="176"/>
  <c r="AS199" i="176"/>
  <c r="BM204" i="176"/>
  <c r="AB204" i="176"/>
  <c r="AB206" i="176" s="1"/>
  <c r="AJ204" i="176"/>
  <c r="AJ206" i="176" s="1"/>
  <c r="AR204" i="176"/>
  <c r="AR206" i="176" s="1"/>
  <c r="CO204" i="176"/>
  <c r="CW204" i="176"/>
  <c r="CW206" i="176" s="1"/>
  <c r="DE204" i="176"/>
  <c r="BR47" i="176" l="1"/>
  <c r="I47" i="176"/>
  <c r="BR10" i="176"/>
  <c r="DJ110" i="176"/>
  <c r="BR163" i="176"/>
  <c r="DJ170" i="176"/>
  <c r="BC196" i="176"/>
  <c r="CH128" i="176"/>
  <c r="CH196" i="176" s="1"/>
  <c r="AZ204" i="176"/>
  <c r="AZ206" i="176" s="1"/>
  <c r="CG205" i="176"/>
  <c r="DJ165" i="176"/>
  <c r="DI165" i="176" s="1"/>
  <c r="I134" i="176"/>
  <c r="BY104" i="176"/>
  <c r="I84" i="176"/>
  <c r="CL128" i="176"/>
  <c r="CL200" i="176"/>
  <c r="DJ60" i="176"/>
  <c r="I55" i="176"/>
  <c r="DJ92" i="176"/>
  <c r="CM112" i="176"/>
  <c r="DI112" i="176" s="1"/>
  <c r="BR55" i="176"/>
  <c r="EA128" i="176"/>
  <c r="AE196" i="176"/>
  <c r="DQ199" i="176"/>
  <c r="DY205" i="176"/>
  <c r="CL205" i="176"/>
  <c r="ED128" i="176"/>
  <c r="BT104" i="176"/>
  <c r="AU171" i="176"/>
  <c r="BQ171" i="176" s="1"/>
  <c r="BR50" i="176"/>
  <c r="BX203" i="176"/>
  <c r="BY203" i="176"/>
  <c r="DQ203" i="176"/>
  <c r="H7" i="176"/>
  <c r="I7" i="176" s="1"/>
  <c r="CM7" i="176"/>
  <c r="DI7" i="176" s="1"/>
  <c r="CM62" i="176"/>
  <c r="DI62" i="176" s="1"/>
  <c r="H62" i="176"/>
  <c r="I62" i="176" s="1"/>
  <c r="BW194" i="176"/>
  <c r="BW196" i="176" s="1"/>
  <c r="DJ64" i="176"/>
  <c r="BR156" i="176"/>
  <c r="CK199" i="176"/>
  <c r="CK204" i="176" s="1"/>
  <c r="CK206" i="176" s="1"/>
  <c r="CM141" i="176"/>
  <c r="DI141" i="176" s="1"/>
  <c r="I101" i="176"/>
  <c r="CG67" i="176"/>
  <c r="CM183" i="176"/>
  <c r="DI183" i="176" s="1"/>
  <c r="DY201" i="176"/>
  <c r="CM47" i="176"/>
  <c r="DI47" i="176" s="1"/>
  <c r="AU37" i="176"/>
  <c r="BQ37" i="176" s="1"/>
  <c r="CM41" i="176"/>
  <c r="DI41" i="176" s="1"/>
  <c r="CM24" i="176"/>
  <c r="DI24" i="176" s="1"/>
  <c r="CM148" i="176"/>
  <c r="DI148" i="176" s="1"/>
  <c r="CL203" i="176"/>
  <c r="AU84" i="176"/>
  <c r="BQ84" i="176" s="1"/>
  <c r="DJ161" i="176"/>
  <c r="I135" i="176"/>
  <c r="AU173" i="176"/>
  <c r="BQ173" i="176" s="1"/>
  <c r="DH196" i="176"/>
  <c r="AA196" i="176"/>
  <c r="DQ67" i="176"/>
  <c r="CE201" i="176"/>
  <c r="BR48" i="176"/>
  <c r="I23" i="176"/>
  <c r="AU141" i="176"/>
  <c r="BQ141" i="176" s="1"/>
  <c r="H10" i="176"/>
  <c r="I10" i="176" s="1"/>
  <c r="CM10" i="176"/>
  <c r="DI10" i="176" s="1"/>
  <c r="H110" i="176"/>
  <c r="I110" i="176" s="1"/>
  <c r="CM110" i="176"/>
  <c r="DI110" i="176" s="1"/>
  <c r="ED199" i="176"/>
  <c r="BR191" i="176"/>
  <c r="BI204" i="176"/>
  <c r="BI206" i="176" s="1"/>
  <c r="CR196" i="176"/>
  <c r="BV202" i="176"/>
  <c r="BV194" i="176"/>
  <c r="BM206" i="176"/>
  <c r="ED194" i="176"/>
  <c r="CM161" i="176"/>
  <c r="DI161" i="176" s="1"/>
  <c r="AC196" i="176"/>
  <c r="DP194" i="176"/>
  <c r="BX202" i="176"/>
  <c r="BR133" i="176"/>
  <c r="BR152" i="176"/>
  <c r="BX194" i="176"/>
  <c r="Y202" i="176"/>
  <c r="BR169" i="176"/>
  <c r="BB196" i="176"/>
  <c r="I167" i="176"/>
  <c r="CL199" i="176"/>
  <c r="CN128" i="176"/>
  <c r="CI205" i="176"/>
  <c r="DK196" i="176"/>
  <c r="CO206" i="176"/>
  <c r="DC204" i="176"/>
  <c r="DC206" i="176" s="1"/>
  <c r="CN198" i="176"/>
  <c r="DJ123" i="176"/>
  <c r="CL104" i="176"/>
  <c r="BK204" i="176"/>
  <c r="BK206" i="176" s="1"/>
  <c r="BH204" i="176"/>
  <c r="BH206" i="176" s="1"/>
  <c r="AU101" i="176"/>
  <c r="BQ101" i="176" s="1"/>
  <c r="CJ196" i="176"/>
  <c r="AV203" i="176"/>
  <c r="AU71" i="176"/>
  <c r="BQ71" i="176" s="1"/>
  <c r="DQ104" i="176"/>
  <c r="CE196" i="176"/>
  <c r="DK204" i="176"/>
  <c r="DK206" i="176" s="1"/>
  <c r="DK207" i="176" s="1"/>
  <c r="CG203" i="176"/>
  <c r="I92" i="176"/>
  <c r="AZ196" i="176"/>
  <c r="CM83" i="176"/>
  <c r="DI83" i="176" s="1"/>
  <c r="Y104" i="176"/>
  <c r="AU104" i="176" s="1"/>
  <c r="BQ104" i="176" s="1"/>
  <c r="CM101" i="176"/>
  <c r="DI101" i="176" s="1"/>
  <c r="BK196" i="176"/>
  <c r="AV104" i="176"/>
  <c r="BI196" i="176"/>
  <c r="BJ204" i="176"/>
  <c r="BJ206" i="176" s="1"/>
  <c r="CG201" i="176"/>
  <c r="DL201" i="176"/>
  <c r="ED201" i="176"/>
  <c r="AU41" i="176"/>
  <c r="BQ41" i="176" s="1"/>
  <c r="CT196" i="176"/>
  <c r="DM204" i="176"/>
  <c r="DM206" i="176" s="1"/>
  <c r="BR44" i="176"/>
  <c r="CB196" i="176"/>
  <c r="AS204" i="176"/>
  <c r="AS206" i="176" s="1"/>
  <c r="BL204" i="176"/>
  <c r="BL206" i="176" s="1"/>
  <c r="AN204" i="176"/>
  <c r="AN206" i="176" s="1"/>
  <c r="CN201" i="176"/>
  <c r="CL67" i="176"/>
  <c r="DX67" i="176"/>
  <c r="CF201" i="176"/>
  <c r="DQ201" i="176"/>
  <c r="DJ48" i="176"/>
  <c r="CD204" i="176"/>
  <c r="CD206" i="176" s="1"/>
  <c r="DE206" i="176"/>
  <c r="I66" i="176"/>
  <c r="DZ201" i="176"/>
  <c r="AU49" i="176"/>
  <c r="BQ49" i="176" s="1"/>
  <c r="DJ47" i="176"/>
  <c r="AF204" i="176"/>
  <c r="AF206" i="176" s="1"/>
  <c r="BP204" i="176"/>
  <c r="BP206" i="176" s="1"/>
  <c r="CB204" i="176"/>
  <c r="CB206" i="176" s="1"/>
  <c r="AV201" i="176"/>
  <c r="DU207" i="176"/>
  <c r="CN202" i="176"/>
  <c r="DH204" i="176"/>
  <c r="DH206" i="176" s="1"/>
  <c r="DT204" i="176"/>
  <c r="DT206" i="176" s="1"/>
  <c r="Y34" i="176"/>
  <c r="CM23" i="176"/>
  <c r="DI23" i="176" s="1"/>
  <c r="DZ34" i="176"/>
  <c r="DA204" i="176"/>
  <c r="DA206" i="176" s="1"/>
  <c r="CC204" i="176"/>
  <c r="CC206" i="176" s="1"/>
  <c r="AM204" i="176"/>
  <c r="AM206" i="176" s="1"/>
  <c r="DZ202" i="176"/>
  <c r="BB204" i="176"/>
  <c r="BB206" i="176" s="1"/>
  <c r="CA204" i="176"/>
  <c r="CA206" i="176" s="1"/>
  <c r="BR17" i="176"/>
  <c r="AE204" i="176"/>
  <c r="AE206" i="176" s="1"/>
  <c r="DO204" i="176"/>
  <c r="DO206" i="176" s="1"/>
  <c r="CP204" i="176"/>
  <c r="CP206" i="176" s="1"/>
  <c r="BS204" i="176"/>
  <c r="CN203" i="176"/>
  <c r="BC204" i="176"/>
  <c r="BC206" i="176" s="1"/>
  <c r="EC204" i="176"/>
  <c r="EC206" i="176" s="1"/>
  <c r="EC207" i="176" s="1"/>
  <c r="AV202" i="176"/>
  <c r="ED34" i="176"/>
  <c r="AV200" i="176"/>
  <c r="CF34" i="176"/>
  <c r="CG34" i="176"/>
  <c r="Y198" i="176"/>
  <c r="EB196" i="176"/>
  <c r="CU200" i="176"/>
  <c r="CU204" i="176" s="1"/>
  <c r="CU206" i="176" s="1"/>
  <c r="CU34" i="176"/>
  <c r="CU196" i="176" s="1"/>
  <c r="DQ18" i="176"/>
  <c r="I19" i="176"/>
  <c r="H163" i="176"/>
  <c r="I163" i="176" s="1"/>
  <c r="CM163" i="176"/>
  <c r="DI163" i="176" s="1"/>
  <c r="DL199" i="176"/>
  <c r="DL194" i="176"/>
  <c r="DJ162" i="176"/>
  <c r="AU154" i="176"/>
  <c r="BQ154" i="176" s="1"/>
  <c r="I144" i="176"/>
  <c r="CM144" i="176"/>
  <c r="DI144" i="176" s="1"/>
  <c r="AD204" i="176"/>
  <c r="AD206" i="176" s="1"/>
  <c r="AU144" i="176"/>
  <c r="BQ144" i="176" s="1"/>
  <c r="CM187" i="176"/>
  <c r="DI187" i="176" s="1"/>
  <c r="H187" i="176"/>
  <c r="I187" i="176" s="1"/>
  <c r="BS128" i="176"/>
  <c r="I95" i="176"/>
  <c r="CM69" i="176"/>
  <c r="DI69" i="176" s="1"/>
  <c r="H69" i="176"/>
  <c r="I69" i="176" s="1"/>
  <c r="ED203" i="176"/>
  <c r="ED104" i="176"/>
  <c r="CM123" i="176"/>
  <c r="DI123" i="176" s="1"/>
  <c r="H123" i="176"/>
  <c r="I123" i="176" s="1"/>
  <c r="BR79" i="176"/>
  <c r="BR60" i="176"/>
  <c r="CM95" i="176"/>
  <c r="DI95" i="176" s="1"/>
  <c r="I64" i="176"/>
  <c r="AU64" i="176"/>
  <c r="BQ64" i="176" s="1"/>
  <c r="DN202" i="176"/>
  <c r="CM152" i="176"/>
  <c r="DI152" i="176" s="1"/>
  <c r="H152" i="176"/>
  <c r="I152" i="176" s="1"/>
  <c r="DT196" i="176"/>
  <c r="AU59" i="176"/>
  <c r="BQ59" i="176" s="1"/>
  <c r="I59" i="176"/>
  <c r="CM59" i="176"/>
  <c r="DI59" i="176" s="1"/>
  <c r="CI128" i="176"/>
  <c r="CI196" i="176" s="1"/>
  <c r="AN196" i="176"/>
  <c r="CM65" i="176"/>
  <c r="DI65" i="176" s="1"/>
  <c r="H65" i="176"/>
  <c r="I65" i="176" s="1"/>
  <c r="AU19" i="176"/>
  <c r="BQ19" i="176" s="1"/>
  <c r="DV196" i="176"/>
  <c r="AU85" i="176"/>
  <c r="BQ85" i="176" s="1"/>
  <c r="CM19" i="176"/>
  <c r="DI19" i="176" s="1"/>
  <c r="AV34" i="176"/>
  <c r="Y201" i="176"/>
  <c r="I35" i="176"/>
  <c r="Y67" i="176"/>
  <c r="CM35" i="176"/>
  <c r="DI35" i="176" s="1"/>
  <c r="DJ126" i="176"/>
  <c r="DV199" i="176"/>
  <c r="DV204" i="176" s="1"/>
  <c r="DV206" i="176" s="1"/>
  <c r="DX128" i="176"/>
  <c r="AV194" i="176"/>
  <c r="Y194" i="176"/>
  <c r="BS205" i="176"/>
  <c r="DJ108" i="176"/>
  <c r="AU123" i="176"/>
  <c r="BQ123" i="176" s="1"/>
  <c r="I168" i="176"/>
  <c r="CM168" i="176"/>
  <c r="DI168" i="176" s="1"/>
  <c r="CF128" i="176"/>
  <c r="AU35" i="176"/>
  <c r="BQ35" i="176" s="1"/>
  <c r="AV67" i="176"/>
  <c r="AU67" i="176" s="1"/>
  <c r="BQ67" i="176" s="1"/>
  <c r="I28" i="176"/>
  <c r="CM28" i="176"/>
  <c r="DI28" i="176" s="1"/>
  <c r="AU28" i="176"/>
  <c r="BQ28" i="176" s="1"/>
  <c r="AU167" i="176"/>
  <c r="BQ167" i="176" s="1"/>
  <c r="EB201" i="176"/>
  <c r="EB204" i="176" s="1"/>
  <c r="EB206" i="176" s="1"/>
  <c r="CC196" i="176"/>
  <c r="DJ68" i="176"/>
  <c r="DX202" i="176"/>
  <c r="DX34" i="176"/>
  <c r="BR73" i="176"/>
  <c r="DM67" i="176"/>
  <c r="DM196" i="176" s="1"/>
  <c r="DP202" i="176"/>
  <c r="AU23" i="176"/>
  <c r="BQ23" i="176" s="1"/>
  <c r="CM49" i="176"/>
  <c r="DI49" i="176" s="1"/>
  <c r="I49" i="176"/>
  <c r="CF67" i="176"/>
  <c r="H25" i="176"/>
  <c r="I25" i="176" s="1"/>
  <c r="CM25" i="176"/>
  <c r="DI25" i="176" s="1"/>
  <c r="AU83" i="176"/>
  <c r="BQ83" i="176" s="1"/>
  <c r="DB196" i="176"/>
  <c r="DN199" i="176"/>
  <c r="CM125" i="176"/>
  <c r="DI125" i="176" s="1"/>
  <c r="H125" i="176"/>
  <c r="I125" i="176" s="1"/>
  <c r="AU92" i="176"/>
  <c r="BQ92" i="176" s="1"/>
  <c r="I4" i="176"/>
  <c r="BR12" i="176"/>
  <c r="CM12" i="176"/>
  <c r="DI12" i="176" s="1"/>
  <c r="H12" i="176"/>
  <c r="I12" i="176" s="1"/>
  <c r="CN18" i="176"/>
  <c r="DP201" i="176"/>
  <c r="DP67" i="176"/>
  <c r="I77" i="176"/>
  <c r="CM77" i="176"/>
  <c r="DI77" i="176" s="1"/>
  <c r="AU77" i="176"/>
  <c r="BQ77" i="176" s="1"/>
  <c r="DJ114" i="176"/>
  <c r="H54" i="176"/>
  <c r="I54" i="176" s="1"/>
  <c r="CM54" i="176"/>
  <c r="DI54" i="176" s="1"/>
  <c r="BS196" i="176"/>
  <c r="CM74" i="176"/>
  <c r="DI74" i="176" s="1"/>
  <c r="H74" i="176"/>
  <c r="I74" i="176" s="1"/>
  <c r="AU163" i="176"/>
  <c r="BQ163" i="176" s="1"/>
  <c r="DL203" i="176"/>
  <c r="DJ78" i="176"/>
  <c r="DL104" i="176"/>
  <c r="DZ67" i="176"/>
  <c r="Y203" i="176"/>
  <c r="DL205" i="176"/>
  <c r="DJ105" i="176"/>
  <c r="DL128" i="176"/>
  <c r="DJ39" i="176"/>
  <c r="DR201" i="176"/>
  <c r="DR204" i="176" s="1"/>
  <c r="DR206" i="176" s="1"/>
  <c r="DR67" i="176"/>
  <c r="DR196" i="176" s="1"/>
  <c r="BX201" i="176"/>
  <c r="BX67" i="176"/>
  <c r="BR161" i="176"/>
  <c r="DD204" i="176"/>
  <c r="DD206" i="176" s="1"/>
  <c r="DW204" i="176"/>
  <c r="DW206" i="176" s="1"/>
  <c r="AA204" i="176"/>
  <c r="AA206" i="176" s="1"/>
  <c r="DJ91" i="176"/>
  <c r="DY67" i="176"/>
  <c r="CA196" i="176"/>
  <c r="CM39" i="176"/>
  <c r="DI39" i="176" s="1"/>
  <c r="H39" i="176"/>
  <c r="I39" i="176" s="1"/>
  <c r="DW196" i="176"/>
  <c r="Y200" i="176"/>
  <c r="CL34" i="176"/>
  <c r="CL196" i="176" s="1"/>
  <c r="H91" i="176"/>
  <c r="I91" i="176" s="1"/>
  <c r="CM91" i="176"/>
  <c r="DI91" i="176" s="1"/>
  <c r="CM189" i="176"/>
  <c r="DI189" i="176" s="1"/>
  <c r="H189" i="176"/>
  <c r="I189" i="176" s="1"/>
  <c r="BW204" i="176"/>
  <c r="BW206" i="176" s="1"/>
  <c r="CM181" i="176"/>
  <c r="DI181" i="176" s="1"/>
  <c r="I181" i="176"/>
  <c r="BV198" i="176"/>
  <c r="AV199" i="176"/>
  <c r="AU161" i="176"/>
  <c r="BQ161" i="176" s="1"/>
  <c r="AV198" i="176"/>
  <c r="I158" i="176"/>
  <c r="ED205" i="176"/>
  <c r="BR132" i="176"/>
  <c r="CM96" i="176"/>
  <c r="DI96" i="176" s="1"/>
  <c r="H96" i="176"/>
  <c r="I96" i="176" s="1"/>
  <c r="CJ204" i="176"/>
  <c r="CJ206" i="176" s="1"/>
  <c r="CH198" i="176"/>
  <c r="CH204" i="176" s="1"/>
  <c r="CH206" i="176" s="1"/>
  <c r="CR204" i="176"/>
  <c r="CR206" i="176" s="1"/>
  <c r="CM117" i="176"/>
  <c r="DI117" i="176" s="1"/>
  <c r="H117" i="176"/>
  <c r="I117" i="176" s="1"/>
  <c r="CM50" i="176"/>
  <c r="DI50" i="176" s="1"/>
  <c r="H50" i="176"/>
  <c r="I50" i="176" s="1"/>
  <c r="DZ128" i="176"/>
  <c r="BV104" i="176"/>
  <c r="BY199" i="176"/>
  <c r="DN201" i="176"/>
  <c r="DN67" i="176"/>
  <c r="CF202" i="176"/>
  <c r="CM64" i="176"/>
  <c r="DI64" i="176" s="1"/>
  <c r="ED67" i="176"/>
  <c r="DN104" i="176"/>
  <c r="BT201" i="176"/>
  <c r="BT67" i="176"/>
  <c r="BR35" i="176"/>
  <c r="CM11" i="176"/>
  <c r="DI11" i="176" s="1"/>
  <c r="H11" i="176"/>
  <c r="I11" i="176" s="1"/>
  <c r="DX201" i="176"/>
  <c r="DO196" i="176"/>
  <c r="AU108" i="176"/>
  <c r="BQ108" i="176" s="1"/>
  <c r="CG104" i="176"/>
  <c r="BT205" i="176"/>
  <c r="BR105" i="176"/>
  <c r="BT128" i="176"/>
  <c r="I82" i="176"/>
  <c r="CM82" i="176"/>
  <c r="DI82" i="176" s="1"/>
  <c r="H13" i="176"/>
  <c r="I13" i="176" s="1"/>
  <c r="CM13" i="176"/>
  <c r="DI13" i="176" s="1"/>
  <c r="I81" i="176"/>
  <c r="CM81" i="176"/>
  <c r="DI81" i="176" s="1"/>
  <c r="AU60" i="176"/>
  <c r="BQ60" i="176" s="1"/>
  <c r="BT200" i="176"/>
  <c r="DY200" i="176"/>
  <c r="DY202" i="176"/>
  <c r="BR21" i="176"/>
  <c r="AU48" i="176"/>
  <c r="BQ48" i="176" s="1"/>
  <c r="CG202" i="176"/>
  <c r="AU147" i="176"/>
  <c r="BQ147" i="176" s="1"/>
  <c r="Y199" i="176"/>
  <c r="CM154" i="176"/>
  <c r="DI154" i="176" s="1"/>
  <c r="CM174" i="176"/>
  <c r="DI174" i="176" s="1"/>
  <c r="AU174" i="176"/>
  <c r="BQ174" i="176" s="1"/>
  <c r="I174" i="176"/>
  <c r="I108" i="176"/>
  <c r="CM108" i="176"/>
  <c r="DI108" i="176" s="1"/>
  <c r="DS201" i="176"/>
  <c r="DS204" i="176" s="1"/>
  <c r="DS206" i="176" s="1"/>
  <c r="AV205" i="176"/>
  <c r="CD196" i="176"/>
  <c r="H60" i="176"/>
  <c r="I60" i="176" s="1"/>
  <c r="CM60" i="176"/>
  <c r="DI60" i="176" s="1"/>
  <c r="DL200" i="176"/>
  <c r="CE204" i="176"/>
  <c r="CE206" i="176" s="1"/>
  <c r="CM167" i="176"/>
  <c r="DI167" i="176" s="1"/>
  <c r="CN104" i="176"/>
  <c r="CM68" i="176"/>
  <c r="DI68" i="176" s="1"/>
  <c r="H68" i="176"/>
  <c r="Y205" i="176"/>
  <c r="I105" i="176"/>
  <c r="Y128" i="176"/>
  <c r="DJ54" i="176"/>
  <c r="AO204" i="176"/>
  <c r="AO206" i="176" s="1"/>
  <c r="CM149" i="176"/>
  <c r="DI149" i="176" s="1"/>
  <c r="H149" i="176"/>
  <c r="I149" i="176" s="1"/>
  <c r="ED198" i="176"/>
  <c r="BV199" i="176"/>
  <c r="CG128" i="176"/>
  <c r="I157" i="176"/>
  <c r="DY194" i="176"/>
  <c r="AW206" i="176"/>
  <c r="CN194" i="176"/>
  <c r="CM129" i="176"/>
  <c r="DI129" i="176" s="1"/>
  <c r="H129" i="176"/>
  <c r="CN205" i="176"/>
  <c r="H36" i="176"/>
  <c r="CM36" i="176"/>
  <c r="DI36" i="176" s="1"/>
  <c r="CN67" i="176"/>
  <c r="CM67" i="176" s="1"/>
  <c r="DI67" i="176" s="1"/>
  <c r="I121" i="176"/>
  <c r="CM121" i="176"/>
  <c r="DI121" i="176" s="1"/>
  <c r="AU105" i="176"/>
  <c r="BQ105" i="176" s="1"/>
  <c r="AV128" i="176"/>
  <c r="CM133" i="176"/>
  <c r="DI133" i="176" s="1"/>
  <c r="H133" i="176"/>
  <c r="I133" i="176" s="1"/>
  <c r="H87" i="176"/>
  <c r="I87" i="176" s="1"/>
  <c r="CM87" i="176"/>
  <c r="DI87" i="176" s="1"/>
  <c r="H48" i="176"/>
  <c r="I48" i="176" s="1"/>
  <c r="CM48" i="176"/>
  <c r="DI48" i="176" s="1"/>
  <c r="CL201" i="176"/>
  <c r="BV201" i="176"/>
  <c r="BV67" i="176"/>
  <c r="AU121" i="176"/>
  <c r="BQ121" i="176" s="1"/>
  <c r="I46" i="176"/>
  <c r="CM46" i="176"/>
  <c r="DI46" i="176" s="1"/>
  <c r="DL34" i="176"/>
  <c r="DJ51" i="176"/>
  <c r="I146" i="176"/>
  <c r="CM146" i="176"/>
  <c r="DI146" i="176" s="1"/>
  <c r="CM102" i="176"/>
  <c r="DI102" i="176" s="1"/>
  <c r="I102" i="176"/>
  <c r="AU102" i="176"/>
  <c r="BQ102" i="176" s="1"/>
  <c r="DJ4" i="176"/>
  <c r="CM44" i="176"/>
  <c r="DI44" i="176" s="1"/>
  <c r="H44" i="176"/>
  <c r="I44" i="176" s="1"/>
  <c r="AU17" i="176"/>
  <c r="BQ17" i="176" s="1"/>
  <c r="BR6" i="176"/>
  <c r="BX34" i="176"/>
  <c r="DJ37" i="176"/>
  <c r="CM147" i="176"/>
  <c r="DI147" i="176" s="1"/>
  <c r="H126" i="176"/>
  <c r="I126" i="176" s="1"/>
  <c r="CM126" i="176"/>
  <c r="DI126" i="176" s="1"/>
  <c r="I136" i="176"/>
  <c r="AU136" i="176"/>
  <c r="BQ136" i="176" s="1"/>
  <c r="CM136" i="176"/>
  <c r="DI136" i="176" s="1"/>
  <c r="CM92" i="176"/>
  <c r="DI92" i="176" s="1"/>
  <c r="CM71" i="176"/>
  <c r="DI71" i="176" s="1"/>
  <c r="H71" i="176"/>
  <c r="I71" i="176" s="1"/>
  <c r="DJ133" i="176"/>
  <c r="DN194" i="176"/>
  <c r="EA204" i="176"/>
  <c r="EA206" i="176" s="1"/>
  <c r="CM135" i="176"/>
  <c r="DI135" i="176" s="1"/>
  <c r="AF196" i="176"/>
  <c r="CN199" i="176"/>
  <c r="DP199" i="176"/>
  <c r="AC204" i="176"/>
  <c r="AC206" i="176" s="1"/>
  <c r="I139" i="176"/>
  <c r="CM139" i="176"/>
  <c r="DI139" i="176" s="1"/>
  <c r="CI204" i="176"/>
  <c r="CM177" i="176"/>
  <c r="DI177" i="176" s="1"/>
  <c r="DN198" i="176"/>
  <c r="CM107" i="176"/>
  <c r="DI107" i="176" s="1"/>
  <c r="H107" i="176"/>
  <c r="I107" i="176" s="1"/>
  <c r="CM85" i="176"/>
  <c r="DI85" i="176" s="1"/>
  <c r="DJ169" i="176"/>
  <c r="DB204" i="176"/>
  <c r="DB206" i="176" s="1"/>
  <c r="I58" i="176"/>
  <c r="CM169" i="176"/>
  <c r="DI169" i="176" s="1"/>
  <c r="H169" i="176"/>
  <c r="I169" i="176" s="1"/>
  <c r="AU177" i="176"/>
  <c r="BQ177" i="176" s="1"/>
  <c r="AU156" i="176"/>
  <c r="BQ156" i="176" s="1"/>
  <c r="I151" i="176"/>
  <c r="BY201" i="176"/>
  <c r="BY67" i="176"/>
  <c r="CM66" i="176"/>
  <c r="DI66" i="176" s="1"/>
  <c r="I9" i="176"/>
  <c r="AU9" i="176"/>
  <c r="BQ9" i="176" s="1"/>
  <c r="AS196" i="176"/>
  <c r="CT200" i="176"/>
  <c r="CN17" i="176"/>
  <c r="DP17" i="176"/>
  <c r="DP34" i="176" s="1"/>
  <c r="BX104" i="176"/>
  <c r="BR108" i="176"/>
  <c r="DC196" i="176"/>
  <c r="BJ196" i="176"/>
  <c r="DP104" i="176"/>
  <c r="BP196" i="176"/>
  <c r="DS196" i="176"/>
  <c r="I61" i="176"/>
  <c r="CM61" i="176"/>
  <c r="DI61" i="176" s="1"/>
  <c r="BX200" i="176"/>
  <c r="DL67" i="176"/>
  <c r="EA196" i="176"/>
  <c r="CM128" i="176" l="1"/>
  <c r="DI128" i="176" s="1"/>
  <c r="BR203" i="176"/>
  <c r="BY196" i="176"/>
  <c r="CI206" i="176"/>
  <c r="BR34" i="176"/>
  <c r="BR67" i="176"/>
  <c r="AU200" i="176"/>
  <c r="BQ200" i="176" s="1"/>
  <c r="DZ204" i="176"/>
  <c r="DZ206" i="176" s="1"/>
  <c r="BX204" i="176"/>
  <c r="BX206" i="176" s="1"/>
  <c r="AU194" i="176"/>
  <c r="BQ194" i="176" s="1"/>
  <c r="AU202" i="176"/>
  <c r="BQ202" i="176" s="1"/>
  <c r="BR199" i="176"/>
  <c r="DJ194" i="176"/>
  <c r="I198" i="176"/>
  <c r="DY196" i="176"/>
  <c r="CL204" i="176"/>
  <c r="CL206" i="176" s="1"/>
  <c r="BR194" i="176"/>
  <c r="CM202" i="176"/>
  <c r="DI202" i="176" s="1"/>
  <c r="H198" i="176"/>
  <c r="CN200" i="176"/>
  <c r="CN204" i="176" s="1"/>
  <c r="CM194" i="176"/>
  <c r="DI194" i="176" s="1"/>
  <c r="EA207" i="176"/>
  <c r="BT204" i="176"/>
  <c r="BT206" i="176" s="1"/>
  <c r="BY204" i="176"/>
  <c r="BY206" i="176" s="1"/>
  <c r="AU203" i="176"/>
  <c r="BQ203" i="176" s="1"/>
  <c r="DZ196" i="176"/>
  <c r="DZ207" i="176" s="1"/>
  <c r="CM104" i="176"/>
  <c r="DI104" i="176" s="1"/>
  <c r="ED196" i="176"/>
  <c r="DM207" i="176"/>
  <c r="DY204" i="176"/>
  <c r="DY206" i="176" s="1"/>
  <c r="DX204" i="176"/>
  <c r="DX206" i="176" s="1"/>
  <c r="DX207" i="176" s="1"/>
  <c r="DN196" i="176"/>
  <c r="DW207" i="176"/>
  <c r="Y196" i="176"/>
  <c r="BV196" i="176"/>
  <c r="CG196" i="176"/>
  <c r="DJ205" i="176"/>
  <c r="BR104" i="176"/>
  <c r="CG204" i="176"/>
  <c r="CG206" i="176" s="1"/>
  <c r="DJ67" i="176"/>
  <c r="DJ203" i="176"/>
  <c r="BT196" i="176"/>
  <c r="BR202" i="176"/>
  <c r="DX196" i="176"/>
  <c r="ED204" i="176"/>
  <c r="ED206" i="176" s="1"/>
  <c r="CM201" i="176"/>
  <c r="DI201" i="176" s="1"/>
  <c r="AU201" i="176"/>
  <c r="BQ201" i="176" s="1"/>
  <c r="AU205" i="176"/>
  <c r="BQ205" i="176" s="1"/>
  <c r="DO207" i="176"/>
  <c r="AU199" i="176"/>
  <c r="BQ199" i="176" s="1"/>
  <c r="CM203" i="176"/>
  <c r="DI203" i="176" s="1"/>
  <c r="DJ202" i="176"/>
  <c r="CM199" i="176"/>
  <c r="DI199" i="176" s="1"/>
  <c r="DJ201" i="176"/>
  <c r="CF196" i="176"/>
  <c r="BR200" i="176"/>
  <c r="BR201" i="176"/>
  <c r="DT207" i="176"/>
  <c r="DS207" i="176"/>
  <c r="I205" i="176"/>
  <c r="I128" i="176"/>
  <c r="BV204" i="176"/>
  <c r="BV206" i="176" s="1"/>
  <c r="H205" i="176"/>
  <c r="DP200" i="176"/>
  <c r="DJ17" i="176"/>
  <c r="DJ128" i="176"/>
  <c r="BR205" i="176"/>
  <c r="DV207" i="176"/>
  <c r="H128" i="176"/>
  <c r="BR198" i="176"/>
  <c r="BS206" i="176"/>
  <c r="EB207" i="176"/>
  <c r="BX196" i="176"/>
  <c r="CM18" i="176"/>
  <c r="DI18" i="176" s="1"/>
  <c r="H18" i="176"/>
  <c r="I18" i="176" s="1"/>
  <c r="DJ104" i="176"/>
  <c r="H17" i="176"/>
  <c r="CM17" i="176"/>
  <c r="DI17" i="176" s="1"/>
  <c r="CN34" i="176"/>
  <c r="I199" i="176"/>
  <c r="H203" i="176"/>
  <c r="H104" i="176"/>
  <c r="I68" i="176"/>
  <c r="BR128" i="176"/>
  <c r="DP196" i="176"/>
  <c r="Y204" i="176"/>
  <c r="Y206" i="176" s="1"/>
  <c r="CM200" i="176"/>
  <c r="DI200" i="176" s="1"/>
  <c r="I36" i="176"/>
  <c r="I201" i="176" s="1"/>
  <c r="H67" i="176"/>
  <c r="H201" i="176"/>
  <c r="DQ34" i="176"/>
  <c r="DQ196" i="176" s="1"/>
  <c r="DQ200" i="176"/>
  <c r="DQ204" i="176" s="1"/>
  <c r="DQ206" i="176" s="1"/>
  <c r="DJ18" i="176"/>
  <c r="H194" i="176"/>
  <c r="I129" i="176"/>
  <c r="I194" i="176" s="1"/>
  <c r="H202" i="176"/>
  <c r="CF204" i="176"/>
  <c r="CF206" i="176" s="1"/>
  <c r="H199" i="176"/>
  <c r="AV204" i="176"/>
  <c r="AU198" i="176"/>
  <c r="BQ198" i="176" s="1"/>
  <c r="DJ199" i="176"/>
  <c r="DL204" i="176"/>
  <c r="DL206" i="176" s="1"/>
  <c r="CM198" i="176"/>
  <c r="DI198" i="176" s="1"/>
  <c r="DN204" i="176"/>
  <c r="DN206" i="176" s="1"/>
  <c r="DJ198" i="176"/>
  <c r="DL196" i="176"/>
  <c r="AU128" i="176"/>
  <c r="BQ128" i="176" s="1"/>
  <c r="CM205" i="176"/>
  <c r="DI205" i="176" s="1"/>
  <c r="DR207" i="176"/>
  <c r="AV196" i="176"/>
  <c r="AU34" i="176"/>
  <c r="BQ34" i="176" s="1"/>
  <c r="CT204" i="176"/>
  <c r="CT206" i="176" s="1"/>
  <c r="DY207" i="176" l="1"/>
  <c r="I202" i="176"/>
  <c r="DJ34" i="176"/>
  <c r="DJ196" i="176" s="1"/>
  <c r="H34" i="176"/>
  <c r="H196" i="176" s="1"/>
  <c r="BR196" i="176"/>
  <c r="ED207" i="176"/>
  <c r="BR204" i="176"/>
  <c r="DN207" i="176"/>
  <c r="I67" i="176"/>
  <c r="DL207" i="176"/>
  <c r="DQ207" i="176"/>
  <c r="CN196" i="176"/>
  <c r="CM34" i="176"/>
  <c r="DI34" i="176" s="1"/>
  <c r="DI196" i="176" s="1"/>
  <c r="AU196" i="176"/>
  <c r="BQ196" i="176" s="1"/>
  <c r="AU204" i="176"/>
  <c r="BQ204" i="176" s="1"/>
  <c r="AV206" i="176"/>
  <c r="H200" i="176"/>
  <c r="H204" i="176" s="1"/>
  <c r="H206" i="176" s="1"/>
  <c r="I17" i="176"/>
  <c r="BR206" i="176"/>
  <c r="DJ200" i="176"/>
  <c r="DJ204" i="176" s="1"/>
  <c r="DJ206" i="176" s="1"/>
  <c r="DP204" i="176"/>
  <c r="DP206" i="176" s="1"/>
  <c r="DP207" i="176" s="1"/>
  <c r="CN206" i="176"/>
  <c r="CM206" i="176" s="1"/>
  <c r="DI206" i="176" s="1"/>
  <c r="CM204" i="176"/>
  <c r="DI204" i="176" s="1"/>
  <c r="I203" i="176"/>
  <c r="I104" i="176"/>
  <c r="I200" i="176" l="1"/>
  <c r="I204" i="176" s="1"/>
  <c r="I206" i="176" s="1"/>
  <c r="I34" i="176"/>
  <c r="I196" i="176" s="1"/>
  <c r="EC206" i="175" l="1"/>
  <c r="DU206" i="175"/>
  <c r="DR206" i="175"/>
  <c r="DO206" i="175"/>
  <c r="DG206" i="175"/>
  <c r="DF206" i="175"/>
  <c r="DA206" i="175"/>
  <c r="CZ206" i="175"/>
  <c r="CY206" i="175"/>
  <c r="CX206" i="175"/>
  <c r="CW206" i="175"/>
  <c r="CV206" i="175"/>
  <c r="CU206" i="175"/>
  <c r="CT206" i="175"/>
  <c r="CS206" i="175"/>
  <c r="CR206" i="175"/>
  <c r="CQ206" i="175"/>
  <c r="CP206" i="175"/>
  <c r="CJ206" i="175"/>
  <c r="BZ206" i="175"/>
  <c r="BW206" i="175"/>
  <c r="BU206" i="175"/>
  <c r="BO206" i="175"/>
  <c r="BN206" i="175"/>
  <c r="BI206" i="175"/>
  <c r="BH206" i="175"/>
  <c r="BG206" i="175"/>
  <c r="BF206" i="175"/>
  <c r="BE206" i="175"/>
  <c r="BD206" i="175"/>
  <c r="BC206" i="175"/>
  <c r="BB206" i="175"/>
  <c r="BA206" i="175"/>
  <c r="AZ206" i="175"/>
  <c r="AY206" i="175"/>
  <c r="AX206" i="175"/>
  <c r="AR206" i="175"/>
  <c r="AQ206" i="175"/>
  <c r="AP206" i="175"/>
  <c r="AN206" i="175"/>
  <c r="AL206" i="175"/>
  <c r="AK206" i="175"/>
  <c r="AJ206" i="175"/>
  <c r="AI206" i="175"/>
  <c r="AH206" i="175"/>
  <c r="AG206" i="175"/>
  <c r="AF206" i="175"/>
  <c r="AE206" i="175"/>
  <c r="AD206" i="175"/>
  <c r="AC206" i="175"/>
  <c r="AB206" i="175"/>
  <c r="Z206" i="175"/>
  <c r="G206" i="175"/>
  <c r="BF205" i="175"/>
  <c r="BF207" i="175" s="1"/>
  <c r="AT205" i="175"/>
  <c r="AT207" i="175" s="1"/>
  <c r="EC204" i="175"/>
  <c r="DU204" i="175"/>
  <c r="DR204" i="175"/>
  <c r="DK204" i="175"/>
  <c r="DG204" i="175"/>
  <c r="DF204" i="175"/>
  <c r="DE204" i="175"/>
  <c r="DD204" i="175"/>
  <c r="DB204" i="175"/>
  <c r="CZ204" i="175"/>
  <c r="CY204" i="175"/>
  <c r="CX204" i="175"/>
  <c r="CW204" i="175"/>
  <c r="CV204" i="175"/>
  <c r="CS204" i="175"/>
  <c r="CQ204" i="175"/>
  <c r="CP204" i="175"/>
  <c r="CO204" i="175"/>
  <c r="CK204" i="175"/>
  <c r="BZ204" i="175"/>
  <c r="BU204" i="175"/>
  <c r="BO204" i="175"/>
  <c r="BN204" i="175"/>
  <c r="BM204" i="175"/>
  <c r="BL204" i="175"/>
  <c r="BJ204" i="175"/>
  <c r="BH204" i="175"/>
  <c r="BG204" i="175"/>
  <c r="BF204" i="175"/>
  <c r="BE204" i="175"/>
  <c r="BD204" i="175"/>
  <c r="AY204" i="175"/>
  <c r="AX204" i="175"/>
  <c r="AW204" i="175"/>
  <c r="AR204" i="175"/>
  <c r="AQ204" i="175"/>
  <c r="AP204" i="175"/>
  <c r="AO204" i="175"/>
  <c r="AM204" i="175"/>
  <c r="AK204" i="175"/>
  <c r="AJ204" i="175"/>
  <c r="AI204" i="175"/>
  <c r="AH204" i="175"/>
  <c r="AG204" i="175"/>
  <c r="AD204" i="175"/>
  <c r="AB204" i="175"/>
  <c r="Z204" i="175"/>
  <c r="G204" i="175"/>
  <c r="DU203" i="175"/>
  <c r="DR203" i="175"/>
  <c r="DM203" i="175"/>
  <c r="DG203" i="175"/>
  <c r="DF203" i="175"/>
  <c r="DE203" i="175"/>
  <c r="DA203" i="175"/>
  <c r="CZ203" i="175"/>
  <c r="CY203" i="175"/>
  <c r="CX203" i="175"/>
  <c r="CW203" i="175"/>
  <c r="CV203" i="175"/>
  <c r="CU203" i="175"/>
  <c r="CS203" i="175"/>
  <c r="CR203" i="175"/>
  <c r="CQ203" i="175"/>
  <c r="CP203" i="175"/>
  <c r="CO203" i="175"/>
  <c r="BZ203" i="175"/>
  <c r="BU203" i="175"/>
  <c r="BO203" i="175"/>
  <c r="BN203" i="175"/>
  <c r="BM203" i="175"/>
  <c r="BI203" i="175"/>
  <c r="BH203" i="175"/>
  <c r="BG203" i="175"/>
  <c r="BF203" i="175"/>
  <c r="BE203" i="175"/>
  <c r="BD203" i="175"/>
  <c r="BC203" i="175"/>
  <c r="BA203" i="175"/>
  <c r="AZ203" i="175"/>
  <c r="AY203" i="175"/>
  <c r="AX203" i="175"/>
  <c r="AW203" i="175"/>
  <c r="AR203" i="175"/>
  <c r="AQ203" i="175"/>
  <c r="AQ205" i="175" s="1"/>
  <c r="AQ207" i="175" s="1"/>
  <c r="AP203" i="175"/>
  <c r="AO203" i="175"/>
  <c r="AL203" i="175"/>
  <c r="AK203" i="175"/>
  <c r="AJ203" i="175"/>
  <c r="AI203" i="175"/>
  <c r="AH203" i="175"/>
  <c r="AG203" i="175"/>
  <c r="AF203" i="175"/>
  <c r="AD203" i="175"/>
  <c r="AB203" i="175"/>
  <c r="AA203" i="175"/>
  <c r="Z203" i="175"/>
  <c r="G203" i="175"/>
  <c r="EC202" i="175"/>
  <c r="DU202" i="175"/>
  <c r="DO202" i="175"/>
  <c r="DK202" i="175"/>
  <c r="DG202" i="175"/>
  <c r="DE202" i="175"/>
  <c r="CZ202" i="175"/>
  <c r="CY202" i="175"/>
  <c r="CX202" i="175"/>
  <c r="CS202" i="175"/>
  <c r="CO202" i="175"/>
  <c r="BW202" i="175"/>
  <c r="BO202" i="175"/>
  <c r="BM202" i="175"/>
  <c r="BH202" i="175"/>
  <c r="BG202" i="175"/>
  <c r="BF202" i="175"/>
  <c r="BA202" i="175"/>
  <c r="AW202" i="175"/>
  <c r="AR202" i="175"/>
  <c r="AQ202" i="175"/>
  <c r="AP202" i="175"/>
  <c r="AK202" i="175"/>
  <c r="AJ202" i="175"/>
  <c r="AI202" i="175"/>
  <c r="AI205" i="175" s="1"/>
  <c r="AI207" i="175" s="1"/>
  <c r="AH202" i="175"/>
  <c r="AG202" i="175"/>
  <c r="AD202" i="175"/>
  <c r="AB202" i="175"/>
  <c r="Z202" i="175"/>
  <c r="G202" i="175"/>
  <c r="DU201" i="175"/>
  <c r="DR201" i="175"/>
  <c r="DM201" i="175"/>
  <c r="DG201" i="175"/>
  <c r="DF201" i="175"/>
  <c r="DE201" i="175"/>
  <c r="DC201" i="175"/>
  <c r="DB201" i="175"/>
  <c r="DA201" i="175"/>
  <c r="CZ201" i="175"/>
  <c r="CY201" i="175"/>
  <c r="CX201" i="175"/>
  <c r="CW201" i="175"/>
  <c r="CV201" i="175"/>
  <c r="CS201" i="175"/>
  <c r="CR201" i="175"/>
  <c r="CQ201" i="175"/>
  <c r="CP201" i="175"/>
  <c r="CO201" i="175"/>
  <c r="CK201" i="175"/>
  <c r="CJ201" i="175"/>
  <c r="BZ201" i="175"/>
  <c r="BW201" i="175"/>
  <c r="BU201" i="175"/>
  <c r="BO201" i="175"/>
  <c r="BN201" i="175"/>
  <c r="BM201" i="175"/>
  <c r="BK201" i="175"/>
  <c r="BJ201" i="175"/>
  <c r="BI201" i="175"/>
  <c r="BH201" i="175"/>
  <c r="BG201" i="175"/>
  <c r="BF201" i="175"/>
  <c r="BE201" i="175"/>
  <c r="BD201" i="175"/>
  <c r="BA201" i="175"/>
  <c r="AZ201" i="175"/>
  <c r="AY201" i="175"/>
  <c r="AX201" i="175"/>
  <c r="AW201" i="175"/>
  <c r="AR201" i="175"/>
  <c r="AQ201" i="175"/>
  <c r="AP201" i="175"/>
  <c r="AO201" i="175"/>
  <c r="AM201" i="175"/>
  <c r="AL201" i="175"/>
  <c r="AK201" i="175"/>
  <c r="AJ201" i="175"/>
  <c r="AI201" i="175"/>
  <c r="AH201" i="175"/>
  <c r="AG201" i="175"/>
  <c r="AE201" i="175"/>
  <c r="AD201" i="175"/>
  <c r="AC201" i="175"/>
  <c r="AB201" i="175"/>
  <c r="Z201" i="175"/>
  <c r="G201" i="175"/>
  <c r="DU200" i="175"/>
  <c r="DR200" i="175"/>
  <c r="DK200" i="175"/>
  <c r="DG200" i="175"/>
  <c r="DF200" i="175"/>
  <c r="DE200" i="175"/>
  <c r="DB200" i="175"/>
  <c r="DA200" i="175"/>
  <c r="CY200" i="175"/>
  <c r="CX200" i="175"/>
  <c r="CW200" i="175"/>
  <c r="CV200" i="175"/>
  <c r="CU200" i="175"/>
  <c r="CT200" i="175"/>
  <c r="CS200" i="175"/>
  <c r="CQ200" i="175"/>
  <c r="CP200" i="175"/>
  <c r="CO200" i="175"/>
  <c r="BZ200" i="175"/>
  <c r="BU200" i="175"/>
  <c r="BN200" i="175"/>
  <c r="BM200" i="175"/>
  <c r="BJ200" i="175"/>
  <c r="BI200" i="175"/>
  <c r="BG200" i="175"/>
  <c r="BF200" i="175"/>
  <c r="BE200" i="175"/>
  <c r="BD200" i="175"/>
  <c r="BC200" i="175"/>
  <c r="BA200" i="175"/>
  <c r="AY200" i="175"/>
  <c r="AX200" i="175"/>
  <c r="AW200" i="175"/>
  <c r="AR200" i="175"/>
  <c r="AQ200" i="175"/>
  <c r="AP200" i="175"/>
  <c r="AO200" i="175"/>
  <c r="AM200" i="175"/>
  <c r="AL200" i="175"/>
  <c r="AK200" i="175"/>
  <c r="AJ200" i="175"/>
  <c r="AI200" i="175"/>
  <c r="AH200" i="175"/>
  <c r="AG200" i="175"/>
  <c r="AE200" i="175"/>
  <c r="AB200" i="175"/>
  <c r="Z200" i="175"/>
  <c r="G200" i="175"/>
  <c r="EC199" i="175"/>
  <c r="DR199" i="175"/>
  <c r="DM199" i="175"/>
  <c r="DL199" i="175"/>
  <c r="DK199" i="175"/>
  <c r="DG199" i="175"/>
  <c r="DF199" i="175"/>
  <c r="DE199" i="175"/>
  <c r="DC199" i="175"/>
  <c r="DB199" i="175"/>
  <c r="DA199" i="175"/>
  <c r="CZ199" i="175"/>
  <c r="CY199" i="175"/>
  <c r="CX199" i="175"/>
  <c r="CW199" i="175"/>
  <c r="CV199" i="175"/>
  <c r="CU199" i="175"/>
  <c r="CT199" i="175"/>
  <c r="CQ199" i="175"/>
  <c r="CP199" i="175"/>
  <c r="CO199" i="175"/>
  <c r="BZ199" i="175"/>
  <c r="BU199" i="175"/>
  <c r="BS199" i="175"/>
  <c r="BO199" i="175"/>
  <c r="BN199" i="175"/>
  <c r="BM199" i="175"/>
  <c r="BK199" i="175"/>
  <c r="BJ199" i="175"/>
  <c r="BI199" i="175"/>
  <c r="BG199" i="175"/>
  <c r="BF199" i="175"/>
  <c r="BE199" i="175"/>
  <c r="BD199" i="175"/>
  <c r="BC199" i="175"/>
  <c r="BB199" i="175"/>
  <c r="AY199" i="175"/>
  <c r="AX199" i="175"/>
  <c r="AW199" i="175"/>
  <c r="AW205" i="175" s="1"/>
  <c r="AR199" i="175"/>
  <c r="AQ199" i="175"/>
  <c r="AP199" i="175"/>
  <c r="AP205" i="175" s="1"/>
  <c r="AP207" i="175" s="1"/>
  <c r="AM199" i="175"/>
  <c r="AL199" i="175"/>
  <c r="AK199" i="175"/>
  <c r="AK205" i="175" s="1"/>
  <c r="AK207" i="175" s="1"/>
  <c r="AJ199" i="175"/>
  <c r="AI199" i="175"/>
  <c r="AH199" i="175"/>
  <c r="AH205" i="175" s="1"/>
  <c r="AH207" i="175" s="1"/>
  <c r="AG199" i="175"/>
  <c r="AF199" i="175"/>
  <c r="AB199" i="175"/>
  <c r="AB205" i="175" s="1"/>
  <c r="AB207" i="175" s="1"/>
  <c r="AA199" i="175"/>
  <c r="Z199" i="175"/>
  <c r="G199" i="175"/>
  <c r="G205" i="175" s="1"/>
  <c r="G207" i="175" s="1"/>
  <c r="EA195" i="175"/>
  <c r="DR195" i="175"/>
  <c r="DK195" i="175"/>
  <c r="DG195" i="175"/>
  <c r="DF195" i="175"/>
  <c r="DE195" i="175"/>
  <c r="DB195" i="175"/>
  <c r="DA195" i="175"/>
  <c r="CY195" i="175"/>
  <c r="CX195" i="175"/>
  <c r="CW195" i="175"/>
  <c r="CV195" i="175"/>
  <c r="CU195" i="175"/>
  <c r="CP195" i="175"/>
  <c r="CO195" i="175"/>
  <c r="BZ195" i="175"/>
  <c r="BN195" i="175"/>
  <c r="BM195" i="175"/>
  <c r="BJ195" i="175"/>
  <c r="BI195" i="175"/>
  <c r="BG195" i="175"/>
  <c r="BF195" i="175"/>
  <c r="BE195" i="175"/>
  <c r="BD195" i="175"/>
  <c r="BC195" i="175"/>
  <c r="AX195" i="175"/>
  <c r="AW195" i="175"/>
  <c r="AR195" i="175"/>
  <c r="AQ195" i="175"/>
  <c r="AP195" i="175"/>
  <c r="AM195" i="175"/>
  <c r="AL195" i="175"/>
  <c r="AK195" i="175"/>
  <c r="AJ195" i="175"/>
  <c r="AI195" i="175"/>
  <c r="AH195" i="175"/>
  <c r="AG195" i="175"/>
  <c r="AB195" i="175"/>
  <c r="Z195" i="175"/>
  <c r="G195" i="175"/>
  <c r="ED194" i="175"/>
  <c r="EC194" i="175"/>
  <c r="EB194" i="175"/>
  <c r="EA194" i="175"/>
  <c r="DZ194" i="175"/>
  <c r="DY194" i="175"/>
  <c r="DX194" i="175"/>
  <c r="DW194" i="175"/>
  <c r="DV194" i="175"/>
  <c r="DT194" i="175"/>
  <c r="DS194" i="175"/>
  <c r="DQ194" i="175"/>
  <c r="DP194" i="175"/>
  <c r="DO194" i="175"/>
  <c r="CN194" i="175"/>
  <c r="CL194" i="175"/>
  <c r="CI194" i="175"/>
  <c r="CH194" i="175"/>
  <c r="CG194" i="175"/>
  <c r="CF194" i="175"/>
  <c r="CE194" i="175"/>
  <c r="CD194" i="175"/>
  <c r="CC194" i="175"/>
  <c r="CB194" i="175"/>
  <c r="CA194" i="175"/>
  <c r="BY194" i="175"/>
  <c r="BX194" i="175"/>
  <c r="BW194" i="175"/>
  <c r="BT194" i="175"/>
  <c r="BS194" i="175"/>
  <c r="AV194" i="175"/>
  <c r="AC194" i="175"/>
  <c r="EC193" i="175"/>
  <c r="EB193" i="175"/>
  <c r="EA193" i="175"/>
  <c r="DZ193" i="175"/>
  <c r="DY193" i="175"/>
  <c r="DX193" i="175"/>
  <c r="DW193" i="175"/>
  <c r="DV193" i="175"/>
  <c r="DT193" i="175"/>
  <c r="DS193" i="175"/>
  <c r="DQ193" i="175"/>
  <c r="DP193" i="175"/>
  <c r="DO193" i="175"/>
  <c r="DN193" i="175"/>
  <c r="DH193" i="175"/>
  <c r="CN193" i="175" s="1"/>
  <c r="CM193" i="175" s="1"/>
  <c r="DI193" i="175" s="1"/>
  <c r="CI193" i="175"/>
  <c r="CH193" i="175"/>
  <c r="CG193" i="175"/>
  <c r="CF193" i="175"/>
  <c r="CE193" i="175"/>
  <c r="CD193" i="175"/>
  <c r="CC193" i="175"/>
  <c r="CB193" i="175"/>
  <c r="CA193" i="175"/>
  <c r="BY193" i="175"/>
  <c r="BX193" i="175"/>
  <c r="BW193" i="175"/>
  <c r="BV193" i="175"/>
  <c r="BT193" i="175"/>
  <c r="BS193" i="175"/>
  <c r="BP193" i="175"/>
  <c r="AV193" i="175" s="1"/>
  <c r="AU193" i="175" s="1"/>
  <c r="BQ193" i="175" s="1"/>
  <c r="AS193" i="175"/>
  <c r="Y193" i="175" s="1"/>
  <c r="ED192" i="175"/>
  <c r="EC192" i="175"/>
  <c r="EC201" i="175" s="1"/>
  <c r="EB192" i="175"/>
  <c r="EA192" i="175"/>
  <c r="DY192" i="175"/>
  <c r="DX192" i="175"/>
  <c r="DW192" i="175"/>
  <c r="DV192" i="175"/>
  <c r="DT192" i="175"/>
  <c r="DS192" i="175"/>
  <c r="DQ192" i="175"/>
  <c r="DP192" i="175"/>
  <c r="DO192" i="175"/>
  <c r="DN192" i="175"/>
  <c r="DD192" i="175"/>
  <c r="CL192" i="175"/>
  <c r="CI192" i="175"/>
  <c r="CG192" i="175"/>
  <c r="CF192" i="175"/>
  <c r="CE192" i="175"/>
  <c r="CD192" i="175"/>
  <c r="CC192" i="175"/>
  <c r="CB192" i="175"/>
  <c r="CA192" i="175"/>
  <c r="BY192" i="175"/>
  <c r="BX192" i="175"/>
  <c r="BW192" i="175"/>
  <c r="BV192" i="175"/>
  <c r="BT192" i="175"/>
  <c r="BS192" i="175"/>
  <c r="BL192" i="175"/>
  <c r="BL201" i="175" s="1"/>
  <c r="AV192" i="175"/>
  <c r="AO192" i="175"/>
  <c r="Y192" i="175" s="1"/>
  <c r="ED191" i="175"/>
  <c r="EC191" i="175"/>
  <c r="EB191" i="175"/>
  <c r="EA191" i="175"/>
  <c r="DZ191" i="175"/>
  <c r="DY191" i="175"/>
  <c r="DX191" i="175"/>
  <c r="DW191" i="175"/>
  <c r="DV191" i="175"/>
  <c r="DT191" i="175"/>
  <c r="DS191" i="175"/>
  <c r="DQ191" i="175"/>
  <c r="DO191" i="175"/>
  <c r="DN191" i="175"/>
  <c r="CN191" i="175"/>
  <c r="CL191" i="175"/>
  <c r="CI191" i="175"/>
  <c r="CH191" i="175"/>
  <c r="CG191" i="175"/>
  <c r="CF191" i="175"/>
  <c r="CE191" i="175"/>
  <c r="CD191" i="175"/>
  <c r="CC191" i="175"/>
  <c r="CB191" i="175"/>
  <c r="CA191" i="175"/>
  <c r="BY191" i="175"/>
  <c r="BW191" i="175"/>
  <c r="BV191" i="175"/>
  <c r="BT191" i="175"/>
  <c r="BS191" i="175"/>
  <c r="AV191" i="175"/>
  <c r="AE191" i="175"/>
  <c r="H191" i="175"/>
  <c r="ED190" i="175"/>
  <c r="EC190" i="175"/>
  <c r="EB190" i="175"/>
  <c r="EA190" i="175"/>
  <c r="DZ190" i="175"/>
  <c r="DX190" i="175"/>
  <c r="DW190" i="175"/>
  <c r="DV190" i="175"/>
  <c r="DT190" i="175"/>
  <c r="DS190" i="175"/>
  <c r="DQ190" i="175"/>
  <c r="DP190" i="175"/>
  <c r="DO190" i="175"/>
  <c r="DN190" i="175"/>
  <c r="DC190" i="175"/>
  <c r="DY190" i="175" s="1"/>
  <c r="CL190" i="175"/>
  <c r="CI190" i="175"/>
  <c r="CH190" i="175"/>
  <c r="CF190" i="175"/>
  <c r="CE190" i="175"/>
  <c r="CD190" i="175"/>
  <c r="CC190" i="175"/>
  <c r="CB190" i="175"/>
  <c r="CA190" i="175"/>
  <c r="BY190" i="175"/>
  <c r="BX190" i="175"/>
  <c r="BW190" i="175"/>
  <c r="BV190" i="175"/>
  <c r="BT190" i="175"/>
  <c r="BS190" i="175"/>
  <c r="BK190" i="175"/>
  <c r="AV190" i="175" s="1"/>
  <c r="AU190" i="175" s="1"/>
  <c r="BQ190" i="175" s="1"/>
  <c r="Y190" i="175"/>
  <c r="ED189" i="175"/>
  <c r="EC189" i="175"/>
  <c r="EB189" i="175"/>
  <c r="EA189" i="175"/>
  <c r="DZ189" i="175"/>
  <c r="DY189" i="175"/>
  <c r="DX189" i="175"/>
  <c r="DW189" i="175"/>
  <c r="DV189" i="175"/>
  <c r="DT189" i="175"/>
  <c r="DS189" i="175"/>
  <c r="DQ189" i="175"/>
  <c r="DP189" i="175"/>
  <c r="DO189" i="175"/>
  <c r="DN189" i="175"/>
  <c r="CN189" i="175"/>
  <c r="CL189" i="175"/>
  <c r="CI189" i="175"/>
  <c r="CH189" i="175"/>
  <c r="CG189" i="175"/>
  <c r="CF189" i="175"/>
  <c r="CE189" i="175"/>
  <c r="CD189" i="175"/>
  <c r="CC189" i="175"/>
  <c r="CB189" i="175"/>
  <c r="CA189" i="175"/>
  <c r="BY189" i="175"/>
  <c r="BX189" i="175"/>
  <c r="BW189" i="175"/>
  <c r="BV189" i="175"/>
  <c r="BT189" i="175"/>
  <c r="BS189" i="175"/>
  <c r="AV189" i="175"/>
  <c r="Y189" i="175"/>
  <c r="I189" i="175" s="1"/>
  <c r="H189" i="175"/>
  <c r="ED188" i="175"/>
  <c r="EC188" i="175"/>
  <c r="EB188" i="175"/>
  <c r="EA188" i="175"/>
  <c r="DZ188" i="175"/>
  <c r="DY188" i="175"/>
  <c r="DX188" i="175"/>
  <c r="DW188" i="175"/>
  <c r="DV188" i="175"/>
  <c r="DT188" i="175"/>
  <c r="DS188" i="175"/>
  <c r="DQ188" i="175"/>
  <c r="DO188" i="175"/>
  <c r="DN188" i="175"/>
  <c r="CT188" i="175"/>
  <c r="CN188" i="175" s="1"/>
  <c r="H188" i="175" s="1"/>
  <c r="CM188" i="175"/>
  <c r="DI188" i="175" s="1"/>
  <c r="CL188" i="175"/>
  <c r="CI188" i="175"/>
  <c r="CH188" i="175"/>
  <c r="CG188" i="175"/>
  <c r="CF188" i="175"/>
  <c r="CE188" i="175"/>
  <c r="CD188" i="175"/>
  <c r="CC188" i="175"/>
  <c r="CB188" i="175"/>
  <c r="CA188" i="175"/>
  <c r="BY188" i="175"/>
  <c r="BW188" i="175"/>
  <c r="BV188" i="175"/>
  <c r="BT188" i="175"/>
  <c r="BS188" i="175"/>
  <c r="BB188" i="175"/>
  <c r="Y188" i="175"/>
  <c r="I188" i="175"/>
  <c r="ED187" i="175"/>
  <c r="EC187" i="175"/>
  <c r="EB187" i="175"/>
  <c r="EA187" i="175"/>
  <c r="DZ187" i="175"/>
  <c r="DY187" i="175"/>
  <c r="DX187" i="175"/>
  <c r="DW187" i="175"/>
  <c r="DV187" i="175"/>
  <c r="DT187" i="175"/>
  <c r="DS187" i="175"/>
  <c r="DQ187" i="175"/>
  <c r="DP187" i="175"/>
  <c r="DO187" i="175"/>
  <c r="DN187" i="175"/>
  <c r="CN187" i="175"/>
  <c r="CL187" i="175"/>
  <c r="CI187" i="175"/>
  <c r="CH187" i="175"/>
  <c r="CG187" i="175"/>
  <c r="CF187" i="175"/>
  <c r="CE187" i="175"/>
  <c r="CD187" i="175"/>
  <c r="CC187" i="175"/>
  <c r="CB187" i="175"/>
  <c r="CA187" i="175"/>
  <c r="BY187" i="175"/>
  <c r="BX187" i="175"/>
  <c r="BW187" i="175"/>
  <c r="BV187" i="175"/>
  <c r="BT187" i="175"/>
  <c r="BS187" i="175"/>
  <c r="AV187" i="175"/>
  <c r="Y187" i="175"/>
  <c r="AU187" i="175" s="1"/>
  <c r="BQ187" i="175" s="1"/>
  <c r="ED186" i="175"/>
  <c r="EC186" i="175"/>
  <c r="EB186" i="175"/>
  <c r="EA186" i="175"/>
  <c r="DZ186" i="175"/>
  <c r="DY186" i="175"/>
  <c r="DX186" i="175"/>
  <c r="DW186" i="175"/>
  <c r="DV186" i="175"/>
  <c r="DT186" i="175"/>
  <c r="DS186" i="175"/>
  <c r="DQ186" i="175"/>
  <c r="DP186" i="175"/>
  <c r="DO186" i="175"/>
  <c r="DN186" i="175"/>
  <c r="CN186" i="175"/>
  <c r="CM186" i="175"/>
  <c r="DI186" i="175" s="1"/>
  <c r="CL186" i="175"/>
  <c r="CI186" i="175"/>
  <c r="CH186" i="175"/>
  <c r="CG186" i="175"/>
  <c r="CF186" i="175"/>
  <c r="CE186" i="175"/>
  <c r="CD186" i="175"/>
  <c r="CC186" i="175"/>
  <c r="CB186" i="175"/>
  <c r="CA186" i="175"/>
  <c r="BY186" i="175"/>
  <c r="BX186" i="175"/>
  <c r="BW186" i="175"/>
  <c r="BV186" i="175"/>
  <c r="BT186" i="175"/>
  <c r="BS186" i="175"/>
  <c r="BR186" i="175" s="1"/>
  <c r="AV186" i="175"/>
  <c r="AU186" i="175"/>
  <c r="BQ186" i="175" s="1"/>
  <c r="Y186" i="175"/>
  <c r="I186" i="175"/>
  <c r="H186" i="175"/>
  <c r="ED185" i="175"/>
  <c r="EC185" i="175"/>
  <c r="EB185" i="175"/>
  <c r="EA185" i="175"/>
  <c r="DZ185" i="175"/>
  <c r="DY185" i="175"/>
  <c r="DX185" i="175"/>
  <c r="DW185" i="175"/>
  <c r="DV185" i="175"/>
  <c r="DT185" i="175"/>
  <c r="DS185" i="175"/>
  <c r="DQ185" i="175"/>
  <c r="DO185" i="175"/>
  <c r="DN185" i="175"/>
  <c r="CT185" i="175"/>
  <c r="CN185" i="175" s="1"/>
  <c r="CL185" i="175"/>
  <c r="CI185" i="175"/>
  <c r="CH185" i="175"/>
  <c r="CG185" i="175"/>
  <c r="CF185" i="175"/>
  <c r="CE185" i="175"/>
  <c r="CD185" i="175"/>
  <c r="CC185" i="175"/>
  <c r="CB185" i="175"/>
  <c r="CA185" i="175"/>
  <c r="BY185" i="175"/>
  <c r="BW185" i="175"/>
  <c r="BV185" i="175"/>
  <c r="BT185" i="175"/>
  <c r="BS185" i="175"/>
  <c r="BB185" i="175"/>
  <c r="Y185" i="175"/>
  <c r="ED184" i="175"/>
  <c r="EC184" i="175"/>
  <c r="EB184" i="175"/>
  <c r="EA184" i="175"/>
  <c r="DZ184" i="175"/>
  <c r="DY184" i="175"/>
  <c r="DX184" i="175"/>
  <c r="DW184" i="175"/>
  <c r="DV184" i="175"/>
  <c r="DT184" i="175"/>
  <c r="DS184" i="175"/>
  <c r="DQ184" i="175"/>
  <c r="DP184" i="175"/>
  <c r="DO184" i="175"/>
  <c r="DJ184" i="175"/>
  <c r="CN184" i="175"/>
  <c r="CM184" i="175"/>
  <c r="DI184" i="175" s="1"/>
  <c r="CL184" i="175"/>
  <c r="CI184" i="175"/>
  <c r="CH184" i="175"/>
  <c r="CG184" i="175"/>
  <c r="CF184" i="175"/>
  <c r="CE184" i="175"/>
  <c r="CD184" i="175"/>
  <c r="CC184" i="175"/>
  <c r="CB184" i="175"/>
  <c r="CA184" i="175"/>
  <c r="BY184" i="175"/>
  <c r="BX184" i="175"/>
  <c r="BW184" i="175"/>
  <c r="BT184" i="175"/>
  <c r="BS184" i="175"/>
  <c r="AV184" i="175"/>
  <c r="AC184" i="175"/>
  <c r="DN184" i="175" s="1"/>
  <c r="Y184" i="175"/>
  <c r="H184" i="175"/>
  <c r="ED183" i="175"/>
  <c r="EC183" i="175"/>
  <c r="EB183" i="175"/>
  <c r="EA183" i="175"/>
  <c r="DZ183" i="175"/>
  <c r="DY183" i="175"/>
  <c r="DX183" i="175"/>
  <c r="DW183" i="175"/>
  <c r="DV183" i="175"/>
  <c r="DT183" i="175"/>
  <c r="DS183" i="175"/>
  <c r="DQ183" i="175"/>
  <c r="DP183" i="175"/>
  <c r="DO183" i="175"/>
  <c r="DN183" i="175"/>
  <c r="DJ183" i="175"/>
  <c r="CT183" i="175"/>
  <c r="CN183" i="175"/>
  <c r="CM183" i="175" s="1"/>
  <c r="DI183" i="175" s="1"/>
  <c r="CL183" i="175"/>
  <c r="CI183" i="175"/>
  <c r="CH183" i="175"/>
  <c r="CG183" i="175"/>
  <c r="CF183" i="175"/>
  <c r="CE183" i="175"/>
  <c r="CD183" i="175"/>
  <c r="CC183" i="175"/>
  <c r="CB183" i="175"/>
  <c r="CA183" i="175"/>
  <c r="BY183" i="175"/>
  <c r="BX183" i="175"/>
  <c r="BW183" i="175"/>
  <c r="BV183" i="175"/>
  <c r="BT183" i="175"/>
  <c r="BS183" i="175"/>
  <c r="BB183" i="175"/>
  <c r="AV183" i="175" s="1"/>
  <c r="AU183" i="175" s="1"/>
  <c r="BQ183" i="175" s="1"/>
  <c r="Y183" i="175"/>
  <c r="H183" i="175"/>
  <c r="I183" i="175" s="1"/>
  <c r="ED182" i="175"/>
  <c r="EC182" i="175"/>
  <c r="EB182" i="175"/>
  <c r="EA182" i="175"/>
  <c r="DZ182" i="175"/>
  <c r="DY182" i="175"/>
  <c r="DX182" i="175"/>
  <c r="DW182" i="175"/>
  <c r="DV182" i="175"/>
  <c r="DT182" i="175"/>
  <c r="DS182" i="175"/>
  <c r="DQ182" i="175"/>
  <c r="DP182" i="175"/>
  <c r="DO182" i="175"/>
  <c r="CN182" i="175"/>
  <c r="CL182" i="175"/>
  <c r="CK182" i="175"/>
  <c r="CI182" i="175"/>
  <c r="CH182" i="175"/>
  <c r="CG182" i="175"/>
  <c r="CF182" i="175"/>
  <c r="CE182" i="175"/>
  <c r="CD182" i="175"/>
  <c r="CC182" i="175"/>
  <c r="CB182" i="175"/>
  <c r="CA182" i="175"/>
  <c r="BY182" i="175"/>
  <c r="BX182" i="175"/>
  <c r="BW182" i="175"/>
  <c r="BV182" i="175"/>
  <c r="BT182" i="175"/>
  <c r="BS182" i="175"/>
  <c r="BR182" i="175" s="1"/>
  <c r="AV182" i="175"/>
  <c r="AC182" i="175"/>
  <c r="DN182" i="175" s="1"/>
  <c r="ED181" i="175"/>
  <c r="EC181" i="175"/>
  <c r="EB181" i="175"/>
  <c r="EA181" i="175"/>
  <c r="DZ181" i="175"/>
  <c r="DY181" i="175"/>
  <c r="DX181" i="175"/>
  <c r="DW181" i="175"/>
  <c r="DV181" i="175"/>
  <c r="DT181" i="175"/>
  <c r="DS181" i="175"/>
  <c r="DQ181" i="175"/>
  <c r="DP181" i="175"/>
  <c r="DO181" i="175"/>
  <c r="DN181" i="175"/>
  <c r="DJ181" i="175" s="1"/>
  <c r="CN181" i="175"/>
  <c r="CL181" i="175"/>
  <c r="CK181" i="175"/>
  <c r="CI181" i="175"/>
  <c r="CH181" i="175"/>
  <c r="CG181" i="175"/>
  <c r="CF181" i="175"/>
  <c r="CE181" i="175"/>
  <c r="CD181" i="175"/>
  <c r="CC181" i="175"/>
  <c r="CB181" i="175"/>
  <c r="CA181" i="175"/>
  <c r="BY181" i="175"/>
  <c r="BX181" i="175"/>
  <c r="BW181" i="175"/>
  <c r="BT181" i="175"/>
  <c r="BS181" i="175"/>
  <c r="AV181" i="175"/>
  <c r="AC181" i="175"/>
  <c r="H181" i="175"/>
  <c r="ED180" i="175"/>
  <c r="EC180" i="175"/>
  <c r="EB180" i="175"/>
  <c r="EA180" i="175"/>
  <c r="DZ180" i="175"/>
  <c r="DY180" i="175"/>
  <c r="DX180" i="175"/>
  <c r="DW180" i="175"/>
  <c r="DV180" i="175"/>
  <c r="DT180" i="175"/>
  <c r="DS180" i="175"/>
  <c r="DQ180" i="175"/>
  <c r="DP180" i="175"/>
  <c r="DO180" i="175"/>
  <c r="CN180" i="175"/>
  <c r="CL180" i="175"/>
  <c r="CK180" i="175"/>
  <c r="CI180" i="175"/>
  <c r="CH180" i="175"/>
  <c r="CG180" i="175"/>
  <c r="CF180" i="175"/>
  <c r="CE180" i="175"/>
  <c r="CD180" i="175"/>
  <c r="CC180" i="175"/>
  <c r="CB180" i="175"/>
  <c r="CA180" i="175"/>
  <c r="BY180" i="175"/>
  <c r="BX180" i="175"/>
  <c r="BW180" i="175"/>
  <c r="BT180" i="175"/>
  <c r="BS180" i="175"/>
  <c r="AV180" i="175"/>
  <c r="AC180" i="175"/>
  <c r="H180" i="175"/>
  <c r="ED179" i="175"/>
  <c r="EC179" i="175"/>
  <c r="EB179" i="175"/>
  <c r="EA179" i="175"/>
  <c r="DZ179" i="175"/>
  <c r="DY179" i="175"/>
  <c r="DX179" i="175"/>
  <c r="DW179" i="175"/>
  <c r="DV179" i="175"/>
  <c r="DT179" i="175"/>
  <c r="DS179" i="175"/>
  <c r="DQ179" i="175"/>
  <c r="DP179" i="175"/>
  <c r="DO179" i="175"/>
  <c r="DJ179" i="175" s="1"/>
  <c r="DN179" i="175"/>
  <c r="CN179" i="175"/>
  <c r="CL179" i="175"/>
  <c r="CK179" i="175"/>
  <c r="CI179" i="175"/>
  <c r="CH179" i="175"/>
  <c r="CG179" i="175"/>
  <c r="CF179" i="175"/>
  <c r="CE179" i="175"/>
  <c r="CD179" i="175"/>
  <c r="CC179" i="175"/>
  <c r="CB179" i="175"/>
  <c r="CA179" i="175"/>
  <c r="BY179" i="175"/>
  <c r="BX179" i="175"/>
  <c r="BW179" i="175"/>
  <c r="BV179" i="175"/>
  <c r="BT179" i="175"/>
  <c r="BS179" i="175"/>
  <c r="BR179" i="175" s="1"/>
  <c r="BQ179" i="175"/>
  <c r="AV179" i="175"/>
  <c r="AU179" i="175"/>
  <c r="Y179" i="175"/>
  <c r="CM179" i="175" s="1"/>
  <c r="DI179" i="175" s="1"/>
  <c r="H179" i="175"/>
  <c r="ED178" i="175"/>
  <c r="EC178" i="175"/>
  <c r="EB178" i="175"/>
  <c r="EA178" i="175"/>
  <c r="DY178" i="175"/>
  <c r="DX178" i="175"/>
  <c r="DW178" i="175"/>
  <c r="DV178" i="175"/>
  <c r="DT178" i="175"/>
  <c r="DS178" i="175"/>
  <c r="DQ178" i="175"/>
  <c r="DO178" i="175"/>
  <c r="DD178" i="175"/>
  <c r="DZ178" i="175" s="1"/>
  <c r="CL178" i="175"/>
  <c r="CK178" i="175"/>
  <c r="CI178" i="175"/>
  <c r="CG178" i="175"/>
  <c r="CF178" i="175"/>
  <c r="CE178" i="175"/>
  <c r="CD178" i="175"/>
  <c r="CC178" i="175"/>
  <c r="CB178" i="175"/>
  <c r="CA178" i="175"/>
  <c r="BY178" i="175"/>
  <c r="BX178" i="175"/>
  <c r="BW178" i="175"/>
  <c r="BT178" i="175"/>
  <c r="BS178" i="175"/>
  <c r="BL178" i="175"/>
  <c r="CH178" i="175" s="1"/>
  <c r="AE178" i="175"/>
  <c r="DP178" i="175" s="1"/>
  <c r="AC178" i="175"/>
  <c r="ED177" i="175"/>
  <c r="EC177" i="175"/>
  <c r="EB177" i="175"/>
  <c r="EA177" i="175"/>
  <c r="DZ177" i="175"/>
  <c r="DY177" i="175"/>
  <c r="DX177" i="175"/>
  <c r="DW177" i="175"/>
  <c r="DV177" i="175"/>
  <c r="DT177" i="175"/>
  <c r="DS177" i="175"/>
  <c r="DQ177" i="175"/>
  <c r="DO177" i="175"/>
  <c r="DN177" i="175"/>
  <c r="DL177" i="175"/>
  <c r="CT177" i="175"/>
  <c r="CN177" i="175"/>
  <c r="CL177" i="175"/>
  <c r="CK177" i="175"/>
  <c r="CI177" i="175"/>
  <c r="CG177" i="175"/>
  <c r="CF177" i="175"/>
  <c r="CE177" i="175"/>
  <c r="CD177" i="175"/>
  <c r="CC177" i="175"/>
  <c r="CB177" i="175"/>
  <c r="CA177" i="175"/>
  <c r="BY177" i="175"/>
  <c r="BW177" i="175"/>
  <c r="BV177" i="175"/>
  <c r="BT177" i="175"/>
  <c r="BS177" i="175"/>
  <c r="BL177" i="175"/>
  <c r="BB177" i="175"/>
  <c r="AE177" i="175"/>
  <c r="DN176" i="175"/>
  <c r="DJ176" i="175" s="1"/>
  <c r="CN176" i="175"/>
  <c r="BV176" i="175"/>
  <c r="BR176" i="175"/>
  <c r="AV176" i="175"/>
  <c r="AC176" i="175"/>
  <c r="Y176" i="175"/>
  <c r="CM176" i="175" s="1"/>
  <c r="I176" i="175"/>
  <c r="H176" i="175"/>
  <c r="DN175" i="175"/>
  <c r="DJ175" i="175" s="1"/>
  <c r="CN175" i="175"/>
  <c r="BV175" i="175"/>
  <c r="BR175" i="175"/>
  <c r="AV175" i="175"/>
  <c r="AC175" i="175"/>
  <c r="Y175" i="175"/>
  <c r="H175" i="175"/>
  <c r="DN174" i="175"/>
  <c r="DJ174" i="175" s="1"/>
  <c r="CN174" i="175"/>
  <c r="AV174" i="175"/>
  <c r="AC174" i="175"/>
  <c r="BV174" i="175" s="1"/>
  <c r="BR174" i="175" s="1"/>
  <c r="Y174" i="175"/>
  <c r="H174" i="175"/>
  <c r="ED173" i="175"/>
  <c r="EC173" i="175"/>
  <c r="EB173" i="175"/>
  <c r="EA173" i="175"/>
  <c r="DZ173" i="175"/>
  <c r="DY173" i="175"/>
  <c r="DX173" i="175"/>
  <c r="DW173" i="175"/>
  <c r="DV173" i="175"/>
  <c r="DT173" i="175"/>
  <c r="DS173" i="175"/>
  <c r="DQ173" i="175"/>
  <c r="DP173" i="175"/>
  <c r="DO173" i="175"/>
  <c r="DJ173" i="175" s="1"/>
  <c r="DN173" i="175"/>
  <c r="CN173" i="175"/>
  <c r="CM173" i="175"/>
  <c r="DI173" i="175" s="1"/>
  <c r="CL173" i="175"/>
  <c r="CK173" i="175"/>
  <c r="CI173" i="175"/>
  <c r="CH173" i="175"/>
  <c r="CG173" i="175"/>
  <c r="CF173" i="175"/>
  <c r="CE173" i="175"/>
  <c r="CD173" i="175"/>
  <c r="CC173" i="175"/>
  <c r="CB173" i="175"/>
  <c r="CA173" i="175"/>
  <c r="BY173" i="175"/>
  <c r="BX173" i="175"/>
  <c r="BW173" i="175"/>
  <c r="BV173" i="175"/>
  <c r="BT173" i="175"/>
  <c r="BS173" i="175"/>
  <c r="BR173" i="175"/>
  <c r="BO173" i="175"/>
  <c r="Y173" i="175"/>
  <c r="H173" i="175"/>
  <c r="EC172" i="175"/>
  <c r="EB172" i="175"/>
  <c r="EA172" i="175"/>
  <c r="DZ172" i="175"/>
  <c r="DY172" i="175"/>
  <c r="DX172" i="175"/>
  <c r="DW172" i="175"/>
  <c r="DV172" i="175"/>
  <c r="DT172" i="175"/>
  <c r="DS172" i="175"/>
  <c r="DQ172" i="175"/>
  <c r="DP172" i="175"/>
  <c r="DO172" i="175"/>
  <c r="DN172" i="175"/>
  <c r="DH172" i="175"/>
  <c r="CN172" i="175" s="1"/>
  <c r="H172" i="175" s="1"/>
  <c r="CK172" i="175"/>
  <c r="CI172" i="175"/>
  <c r="CH172" i="175"/>
  <c r="CG172" i="175"/>
  <c r="CF172" i="175"/>
  <c r="CE172" i="175"/>
  <c r="CD172" i="175"/>
  <c r="CC172" i="175"/>
  <c r="CB172" i="175"/>
  <c r="CA172" i="175"/>
  <c r="BY172" i="175"/>
  <c r="BX172" i="175"/>
  <c r="BW172" i="175"/>
  <c r="BV172" i="175"/>
  <c r="BT172" i="175"/>
  <c r="BS172" i="175"/>
  <c r="BP172" i="175"/>
  <c r="AV172" i="175"/>
  <c r="AS172" i="175"/>
  <c r="Y172" i="175"/>
  <c r="EC171" i="175"/>
  <c r="EB171" i="175"/>
  <c r="EA171" i="175"/>
  <c r="DZ171" i="175"/>
  <c r="DY171" i="175"/>
  <c r="DX171" i="175"/>
  <c r="DW171" i="175"/>
  <c r="DV171" i="175"/>
  <c r="DT171" i="175"/>
  <c r="DS171" i="175"/>
  <c r="DP171" i="175"/>
  <c r="DO171" i="175"/>
  <c r="CN171" i="175"/>
  <c r="CK171" i="175"/>
  <c r="CI171" i="175"/>
  <c r="CH171" i="175"/>
  <c r="CG171" i="175"/>
  <c r="CF171" i="175"/>
  <c r="CE171" i="175"/>
  <c r="CD171" i="175"/>
  <c r="CC171" i="175"/>
  <c r="CB171" i="175"/>
  <c r="CA171" i="175"/>
  <c r="BX171" i="175"/>
  <c r="BW171" i="175"/>
  <c r="BT171" i="175"/>
  <c r="BS171" i="175"/>
  <c r="BP171" i="175"/>
  <c r="CL171" i="175" s="1"/>
  <c r="AS171" i="175"/>
  <c r="ED171" i="175" s="1"/>
  <c r="AF171" i="175"/>
  <c r="DQ171" i="175" s="1"/>
  <c r="DJ171" i="175" s="1"/>
  <c r="AC171" i="175"/>
  <c r="DN171" i="175" s="1"/>
  <c r="Y171" i="175"/>
  <c r="H171" i="175"/>
  <c r="ED170" i="175"/>
  <c r="EC170" i="175"/>
  <c r="EB170" i="175"/>
  <c r="EA170" i="175"/>
  <c r="DY170" i="175"/>
  <c r="DX170" i="175"/>
  <c r="DW170" i="175"/>
  <c r="DV170" i="175"/>
  <c r="DT170" i="175"/>
  <c r="DS170" i="175"/>
  <c r="DQ170" i="175"/>
  <c r="DP170" i="175"/>
  <c r="DO170" i="175"/>
  <c r="DD170" i="175"/>
  <c r="CT170" i="175"/>
  <c r="CR170" i="175"/>
  <c r="CL170" i="175"/>
  <c r="CK170" i="175"/>
  <c r="CI170" i="175"/>
  <c r="CH170" i="175"/>
  <c r="CG170" i="175"/>
  <c r="CF170" i="175"/>
  <c r="CE170" i="175"/>
  <c r="CD170" i="175"/>
  <c r="CC170" i="175"/>
  <c r="CB170" i="175"/>
  <c r="CA170" i="175"/>
  <c r="BY170" i="175"/>
  <c r="BW170" i="175"/>
  <c r="BT170" i="175"/>
  <c r="BS170" i="175"/>
  <c r="BL170" i="175"/>
  <c r="BL200" i="175" s="1"/>
  <c r="BB170" i="175"/>
  <c r="BB200" i="175" s="1"/>
  <c r="AZ170" i="175"/>
  <c r="Y170" i="175"/>
  <c r="EC169" i="175"/>
  <c r="EB169" i="175"/>
  <c r="EA169" i="175"/>
  <c r="DZ169" i="175"/>
  <c r="DY169" i="175"/>
  <c r="DX169" i="175"/>
  <c r="DW169" i="175"/>
  <c r="DV169" i="175"/>
  <c r="DT169" i="175"/>
  <c r="DS169" i="175"/>
  <c r="DQ169" i="175"/>
  <c r="DP169" i="175"/>
  <c r="DO169" i="175"/>
  <c r="DN169" i="175"/>
  <c r="DH169" i="175"/>
  <c r="CN169" i="175" s="1"/>
  <c r="CK169" i="175"/>
  <c r="CI169" i="175"/>
  <c r="CH169" i="175"/>
  <c r="CG169" i="175"/>
  <c r="CF169" i="175"/>
  <c r="CE169" i="175"/>
  <c r="CD169" i="175"/>
  <c r="CC169" i="175"/>
  <c r="CB169" i="175"/>
  <c r="CA169" i="175"/>
  <c r="BY169" i="175"/>
  <c r="BX169" i="175"/>
  <c r="BW169" i="175"/>
  <c r="BV169" i="175"/>
  <c r="BT169" i="175"/>
  <c r="BS169" i="175"/>
  <c r="BP169" i="175"/>
  <c r="AV169" i="175" s="1"/>
  <c r="AS169" i="175"/>
  <c r="ED168" i="175"/>
  <c r="EC168" i="175"/>
  <c r="EB168" i="175"/>
  <c r="EA168" i="175"/>
  <c r="DZ168" i="175"/>
  <c r="DY168" i="175"/>
  <c r="DX168" i="175"/>
  <c r="DW168" i="175"/>
  <c r="DV168" i="175"/>
  <c r="DT168" i="175"/>
  <c r="DS168" i="175"/>
  <c r="DP168" i="175"/>
  <c r="DO168" i="175"/>
  <c r="DH168" i="175"/>
  <c r="CR168" i="175"/>
  <c r="CK168" i="175"/>
  <c r="CI168" i="175"/>
  <c r="CH168" i="175"/>
  <c r="CG168" i="175"/>
  <c r="CF168" i="175"/>
  <c r="CE168" i="175"/>
  <c r="CD168" i="175"/>
  <c r="CC168" i="175"/>
  <c r="CB168" i="175"/>
  <c r="CA168" i="175"/>
  <c r="BY168" i="175"/>
  <c r="BX168" i="175"/>
  <c r="BW168" i="175"/>
  <c r="BT168" i="175"/>
  <c r="BS168" i="175"/>
  <c r="BP168" i="175"/>
  <c r="AZ168" i="175"/>
  <c r="AS168" i="175"/>
  <c r="AF168" i="175"/>
  <c r="DQ168" i="175" s="1"/>
  <c r="AC168" i="175"/>
  <c r="ED167" i="175"/>
  <c r="EC167" i="175"/>
  <c r="EB167" i="175"/>
  <c r="EA167" i="175"/>
  <c r="DZ167" i="175"/>
  <c r="DY167" i="175"/>
  <c r="DX167" i="175"/>
  <c r="DW167" i="175"/>
  <c r="DV167" i="175"/>
  <c r="DT167" i="175"/>
  <c r="DS167" i="175"/>
  <c r="DP167" i="175"/>
  <c r="DO167" i="175"/>
  <c r="CR167" i="175"/>
  <c r="DN167" i="175" s="1"/>
  <c r="CL167" i="175"/>
  <c r="CK167" i="175"/>
  <c r="CI167" i="175"/>
  <c r="CH167" i="175"/>
  <c r="CG167" i="175"/>
  <c r="CF167" i="175"/>
  <c r="CE167" i="175"/>
  <c r="CD167" i="175"/>
  <c r="CC167" i="175"/>
  <c r="CB167" i="175"/>
  <c r="CA167" i="175"/>
  <c r="BX167" i="175"/>
  <c r="BW167" i="175"/>
  <c r="BT167" i="175"/>
  <c r="BS167" i="175"/>
  <c r="AZ167" i="175"/>
  <c r="AF167" i="175"/>
  <c r="AC167" i="175"/>
  <c r="Y167" i="175"/>
  <c r="ED166" i="175"/>
  <c r="EC166" i="175"/>
  <c r="EB166" i="175"/>
  <c r="EA166" i="175"/>
  <c r="DZ166" i="175"/>
  <c r="DY166" i="175"/>
  <c r="DX166" i="175"/>
  <c r="DW166" i="175"/>
  <c r="DV166" i="175"/>
  <c r="DT166" i="175"/>
  <c r="DS166" i="175"/>
  <c r="DQ166" i="175"/>
  <c r="DP166" i="175"/>
  <c r="DO166" i="175"/>
  <c r="DM166" i="175"/>
  <c r="DL166" i="175"/>
  <c r="H166" i="175"/>
  <c r="CL166" i="175"/>
  <c r="CK166" i="175"/>
  <c r="CI166" i="175"/>
  <c r="CH166" i="175"/>
  <c r="CG166" i="175"/>
  <c r="CF166" i="175"/>
  <c r="CE166" i="175"/>
  <c r="CD166" i="175"/>
  <c r="CC166" i="175"/>
  <c r="CB166" i="175"/>
  <c r="CA166" i="175"/>
  <c r="BY166" i="175"/>
  <c r="BX166" i="175"/>
  <c r="BW166" i="175"/>
  <c r="BS166" i="175"/>
  <c r="AV166" i="175"/>
  <c r="AF166" i="175"/>
  <c r="AC166" i="175"/>
  <c r="AA166" i="175"/>
  <c r="BT166" i="175" s="1"/>
  <c r="EC165" i="175"/>
  <c r="EB165" i="175"/>
  <c r="EA165" i="175"/>
  <c r="DZ165" i="175"/>
  <c r="DY165" i="175"/>
  <c r="DX165" i="175"/>
  <c r="DW165" i="175"/>
  <c r="DV165" i="175"/>
  <c r="DT165" i="175"/>
  <c r="DS165" i="175"/>
  <c r="DQ165" i="175"/>
  <c r="DP165" i="175"/>
  <c r="DO165" i="175"/>
  <c r="DN165" i="175"/>
  <c r="DH165" i="175"/>
  <c r="CN165" i="175" s="1"/>
  <c r="H165" i="175" s="1"/>
  <c r="CK165" i="175"/>
  <c r="CI165" i="175"/>
  <c r="CH165" i="175"/>
  <c r="CG165" i="175"/>
  <c r="CF165" i="175"/>
  <c r="CE165" i="175"/>
  <c r="CD165" i="175"/>
  <c r="CC165" i="175"/>
  <c r="CB165" i="175"/>
  <c r="CA165" i="175"/>
  <c r="BY165" i="175"/>
  <c r="BX165" i="175"/>
  <c r="BW165" i="175"/>
  <c r="BV165" i="175"/>
  <c r="BT165" i="175"/>
  <c r="BS165" i="175"/>
  <c r="BP165" i="175"/>
  <c r="AS165" i="175"/>
  <c r="Y165" i="175"/>
  <c r="EC164" i="175"/>
  <c r="EB164" i="175"/>
  <c r="EA164" i="175"/>
  <c r="DZ164" i="175"/>
  <c r="DY164" i="175"/>
  <c r="DX164" i="175"/>
  <c r="DW164" i="175"/>
  <c r="DV164" i="175"/>
  <c r="DT164" i="175"/>
  <c r="DS164" i="175"/>
  <c r="DQ164" i="175"/>
  <c r="DP164" i="175"/>
  <c r="DO164" i="175"/>
  <c r="DH164" i="175"/>
  <c r="CR164" i="175"/>
  <c r="DN164" i="175" s="1"/>
  <c r="CK164" i="175"/>
  <c r="CI164" i="175"/>
  <c r="CH164" i="175"/>
  <c r="CG164" i="175"/>
  <c r="CF164" i="175"/>
  <c r="CE164" i="175"/>
  <c r="CD164" i="175"/>
  <c r="CC164" i="175"/>
  <c r="CB164" i="175"/>
  <c r="CA164" i="175"/>
  <c r="BY164" i="175"/>
  <c r="BX164" i="175"/>
  <c r="BW164" i="175"/>
  <c r="BT164" i="175"/>
  <c r="BS164" i="175"/>
  <c r="BP164" i="175"/>
  <c r="CL164" i="175" s="1"/>
  <c r="AZ164" i="175"/>
  <c r="AS164" i="175"/>
  <c r="Y164" i="175"/>
  <c r="ED163" i="175"/>
  <c r="EC163" i="175"/>
  <c r="EB163" i="175"/>
  <c r="EA163" i="175"/>
  <c r="DZ163" i="175"/>
  <c r="DY163" i="175"/>
  <c r="DX163" i="175"/>
  <c r="DW163" i="175"/>
  <c r="DV163" i="175"/>
  <c r="DT163" i="175"/>
  <c r="DS163" i="175"/>
  <c r="DP163" i="175"/>
  <c r="DO163" i="175"/>
  <c r="DN163" i="175"/>
  <c r="DM163" i="175"/>
  <c r="CN163" i="175"/>
  <c r="CL163" i="175"/>
  <c r="CK163" i="175"/>
  <c r="CJ163" i="175"/>
  <c r="CJ200" i="175" s="1"/>
  <c r="CI163" i="175"/>
  <c r="CH163" i="175"/>
  <c r="CG163" i="175"/>
  <c r="CF163" i="175"/>
  <c r="CE163" i="175"/>
  <c r="CD163" i="175"/>
  <c r="CC163" i="175"/>
  <c r="CB163" i="175"/>
  <c r="CA163" i="175"/>
  <c r="BX163" i="175"/>
  <c r="BW163" i="175"/>
  <c r="BT163" i="175"/>
  <c r="BS163" i="175"/>
  <c r="AV163" i="175"/>
  <c r="AF163" i="175"/>
  <c r="DQ163" i="175" s="1"/>
  <c r="AC163" i="175"/>
  <c r="BV163" i="175" s="1"/>
  <c r="AA163" i="175"/>
  <c r="ED162" i="175"/>
  <c r="EC162" i="175"/>
  <c r="EB162" i="175"/>
  <c r="EA162" i="175"/>
  <c r="DZ162" i="175"/>
  <c r="DY162" i="175"/>
  <c r="DX162" i="175"/>
  <c r="DW162" i="175"/>
  <c r="DV162" i="175"/>
  <c r="DT162" i="175"/>
  <c r="DS162" i="175"/>
  <c r="DP162" i="175"/>
  <c r="DO162" i="175"/>
  <c r="CR162" i="175"/>
  <c r="CN162" i="175" s="1"/>
  <c r="CL162" i="175"/>
  <c r="CK162" i="175"/>
  <c r="CI162" i="175"/>
  <c r="CH162" i="175"/>
  <c r="CG162" i="175"/>
  <c r="CF162" i="175"/>
  <c r="CE162" i="175"/>
  <c r="CD162" i="175"/>
  <c r="CC162" i="175"/>
  <c r="CB162" i="175"/>
  <c r="CA162" i="175"/>
  <c r="BX162" i="175"/>
  <c r="BW162" i="175"/>
  <c r="BT162" i="175"/>
  <c r="BS162" i="175"/>
  <c r="AZ162" i="175"/>
  <c r="BV162" i="175" s="1"/>
  <c r="AV162" i="175"/>
  <c r="AF162" i="175"/>
  <c r="AC162" i="175"/>
  <c r="ED161" i="175"/>
  <c r="EC161" i="175"/>
  <c r="EB161" i="175"/>
  <c r="EA161" i="175"/>
  <c r="DZ161" i="175"/>
  <c r="DY161" i="175"/>
  <c r="DX161" i="175"/>
  <c r="DW161" i="175"/>
  <c r="DT161" i="175"/>
  <c r="DS161" i="175"/>
  <c r="DQ161" i="175"/>
  <c r="DP161" i="175"/>
  <c r="DO161" i="175"/>
  <c r="CZ161" i="175"/>
  <c r="DV161" i="175" s="1"/>
  <c r="CL161" i="175"/>
  <c r="CK161" i="175"/>
  <c r="CI161" i="175"/>
  <c r="CH161" i="175"/>
  <c r="CG161" i="175"/>
  <c r="CF161" i="175"/>
  <c r="CE161" i="175"/>
  <c r="CC161" i="175"/>
  <c r="CB161" i="175"/>
  <c r="CA161" i="175"/>
  <c r="BY161" i="175"/>
  <c r="BX161" i="175"/>
  <c r="BW161" i="175"/>
  <c r="BT161" i="175"/>
  <c r="BS161" i="175"/>
  <c r="BH161" i="175"/>
  <c r="AV161" i="175" s="1"/>
  <c r="AU161" i="175" s="1"/>
  <c r="BQ161" i="175" s="1"/>
  <c r="AC161" i="175"/>
  <c r="DN161" i="175" s="1"/>
  <c r="Y161" i="175"/>
  <c r="EC160" i="175"/>
  <c r="EC195" i="175" s="1"/>
  <c r="EB160" i="175"/>
  <c r="EA160" i="175"/>
  <c r="DZ160" i="175"/>
  <c r="DY160" i="175"/>
  <c r="DX160" i="175"/>
  <c r="DW160" i="175"/>
  <c r="DV160" i="175"/>
  <c r="DT160" i="175"/>
  <c r="DS160" i="175"/>
  <c r="DQ160" i="175"/>
  <c r="DP160" i="175"/>
  <c r="DO160" i="175"/>
  <c r="DN160" i="175"/>
  <c r="CN160" i="175"/>
  <c r="CK160" i="175"/>
  <c r="CI160" i="175"/>
  <c r="CH160" i="175"/>
  <c r="CG160" i="175"/>
  <c r="CF160" i="175"/>
  <c r="CE160" i="175"/>
  <c r="CD160" i="175"/>
  <c r="CC160" i="175"/>
  <c r="CB160" i="175"/>
  <c r="CA160" i="175"/>
  <c r="BY160" i="175"/>
  <c r="BX160" i="175"/>
  <c r="BW160" i="175"/>
  <c r="BV160" i="175"/>
  <c r="BT160" i="175"/>
  <c r="BS160" i="175"/>
  <c r="BP160" i="175"/>
  <c r="CL160" i="175" s="1"/>
  <c r="AS160" i="175"/>
  <c r="H160" i="175"/>
  <c r="ED159" i="175"/>
  <c r="EC159" i="175"/>
  <c r="EB159" i="175"/>
  <c r="EA159" i="175"/>
  <c r="DZ159" i="175"/>
  <c r="DY159" i="175"/>
  <c r="DX159" i="175"/>
  <c r="DW159" i="175"/>
  <c r="DV159" i="175"/>
  <c r="DT159" i="175"/>
  <c r="DS159" i="175"/>
  <c r="DQ159" i="175"/>
  <c r="DP159" i="175"/>
  <c r="DO159" i="175"/>
  <c r="CR159" i="175"/>
  <c r="CN159" i="175" s="1"/>
  <c r="CL159" i="175"/>
  <c r="CK159" i="175"/>
  <c r="CI159" i="175"/>
  <c r="CH159" i="175"/>
  <c r="CG159" i="175"/>
  <c r="CF159" i="175"/>
  <c r="CE159" i="175"/>
  <c r="CD159" i="175"/>
  <c r="CC159" i="175"/>
  <c r="CB159" i="175"/>
  <c r="CA159" i="175"/>
  <c r="BY159" i="175"/>
  <c r="BX159" i="175"/>
  <c r="BW159" i="175"/>
  <c r="BT159" i="175"/>
  <c r="BS159" i="175"/>
  <c r="AZ159" i="175"/>
  <c r="AV159" i="175" s="1"/>
  <c r="AC159" i="175"/>
  <c r="ED158" i="175"/>
  <c r="EC158" i="175"/>
  <c r="EB158" i="175"/>
  <c r="EA158" i="175"/>
  <c r="DZ158" i="175"/>
  <c r="DX158" i="175"/>
  <c r="DW158" i="175"/>
  <c r="DV158" i="175"/>
  <c r="DT158" i="175"/>
  <c r="DS158" i="175"/>
  <c r="DQ158" i="175"/>
  <c r="DP158" i="175"/>
  <c r="DO158" i="175"/>
  <c r="DC158" i="175"/>
  <c r="CR158" i="175"/>
  <c r="CL158" i="175"/>
  <c r="CK158" i="175"/>
  <c r="CI158" i="175"/>
  <c r="CH158" i="175"/>
  <c r="CF158" i="175"/>
  <c r="CE158" i="175"/>
  <c r="CD158" i="175"/>
  <c r="CC158" i="175"/>
  <c r="CB158" i="175"/>
  <c r="CA158" i="175"/>
  <c r="BY158" i="175"/>
  <c r="BX158" i="175"/>
  <c r="BW158" i="175"/>
  <c r="BT158" i="175"/>
  <c r="BS158" i="175"/>
  <c r="BK158" i="175"/>
  <c r="BK200" i="175" s="1"/>
  <c r="AZ158" i="175"/>
  <c r="AV158" i="175" s="1"/>
  <c r="AN158" i="175"/>
  <c r="AC158" i="175"/>
  <c r="ED157" i="175"/>
  <c r="EC157" i="175"/>
  <c r="EB157" i="175"/>
  <c r="EA157" i="175"/>
  <c r="DZ157" i="175"/>
  <c r="DY157" i="175"/>
  <c r="DX157" i="175"/>
  <c r="DW157" i="175"/>
  <c r="DV157" i="175"/>
  <c r="DT157" i="175"/>
  <c r="DS157" i="175"/>
  <c r="DQ157" i="175"/>
  <c r="DP157" i="175"/>
  <c r="DO157" i="175"/>
  <c r="CR157" i="175"/>
  <c r="CN157" i="175"/>
  <c r="CL157" i="175"/>
  <c r="CK157" i="175"/>
  <c r="CI157" i="175"/>
  <c r="CH157" i="175"/>
  <c r="CG157" i="175"/>
  <c r="CF157" i="175"/>
  <c r="CE157" i="175"/>
  <c r="CD157" i="175"/>
  <c r="CC157" i="175"/>
  <c r="CB157" i="175"/>
  <c r="CA157" i="175"/>
  <c r="BY157" i="175"/>
  <c r="BX157" i="175"/>
  <c r="BT157" i="175"/>
  <c r="BS157" i="175"/>
  <c r="AZ157" i="175"/>
  <c r="AV157" i="175" s="1"/>
  <c r="AD157" i="175"/>
  <c r="AD200" i="175" s="1"/>
  <c r="AC157" i="175"/>
  <c r="BV157" i="175" s="1"/>
  <c r="ED156" i="175"/>
  <c r="EC156" i="175"/>
  <c r="EB156" i="175"/>
  <c r="EA156" i="175"/>
  <c r="DZ156" i="175"/>
  <c r="DY156" i="175"/>
  <c r="DX156" i="175"/>
  <c r="DW156" i="175"/>
  <c r="DV156" i="175"/>
  <c r="DT156" i="175"/>
  <c r="DS156" i="175"/>
  <c r="DQ156" i="175"/>
  <c r="DP156" i="175"/>
  <c r="DO156" i="175"/>
  <c r="CN156" i="175"/>
  <c r="H156" i="175" s="1"/>
  <c r="CL156" i="175"/>
  <c r="CK156" i="175"/>
  <c r="CI156" i="175"/>
  <c r="CH156" i="175"/>
  <c r="CG156" i="175"/>
  <c r="CF156" i="175"/>
  <c r="CE156" i="175"/>
  <c r="CD156" i="175"/>
  <c r="CC156" i="175"/>
  <c r="CB156" i="175"/>
  <c r="CA156" i="175"/>
  <c r="BY156" i="175"/>
  <c r="BX156" i="175"/>
  <c r="BW156" i="175"/>
  <c r="BT156" i="175"/>
  <c r="BS156" i="175"/>
  <c r="AZ156" i="175"/>
  <c r="AV156" i="175" s="1"/>
  <c r="AC156" i="175"/>
  <c r="ED155" i="175"/>
  <c r="EC155" i="175"/>
  <c r="EB155" i="175"/>
  <c r="EA155" i="175"/>
  <c r="DZ155" i="175"/>
  <c r="DY155" i="175"/>
  <c r="DX155" i="175"/>
  <c r="DW155" i="175"/>
  <c r="DV155" i="175"/>
  <c r="DT155" i="175"/>
  <c r="DS155" i="175"/>
  <c r="DQ155" i="175"/>
  <c r="DP155" i="175"/>
  <c r="DO155" i="175"/>
  <c r="CR155" i="175"/>
  <c r="CN155" i="175" s="1"/>
  <c r="CL155" i="175"/>
  <c r="CK155" i="175"/>
  <c r="CI155" i="175"/>
  <c r="CH155" i="175"/>
  <c r="CG155" i="175"/>
  <c r="CF155" i="175"/>
  <c r="CE155" i="175"/>
  <c r="CD155" i="175"/>
  <c r="CC155" i="175"/>
  <c r="CB155" i="175"/>
  <c r="CA155" i="175"/>
  <c r="BY155" i="175"/>
  <c r="BX155" i="175"/>
  <c r="BW155" i="175"/>
  <c r="BT155" i="175"/>
  <c r="BS155" i="175"/>
  <c r="AZ155" i="175"/>
  <c r="AV155" i="175" s="1"/>
  <c r="AU155" i="175" s="1"/>
  <c r="BQ155" i="175" s="1"/>
  <c r="AC155" i="175"/>
  <c r="Y155" i="175"/>
  <c r="ED154" i="175"/>
  <c r="EC154" i="175"/>
  <c r="EB154" i="175"/>
  <c r="EA154" i="175"/>
  <c r="DZ154" i="175"/>
  <c r="DY154" i="175"/>
  <c r="DX154" i="175"/>
  <c r="DW154" i="175"/>
  <c r="DV154" i="175"/>
  <c r="DT154" i="175"/>
  <c r="DS154" i="175"/>
  <c r="DQ154" i="175"/>
  <c r="DP154" i="175"/>
  <c r="DO154" i="175"/>
  <c r="CN154" i="175"/>
  <c r="CL154" i="175"/>
  <c r="CK154" i="175"/>
  <c r="CI154" i="175"/>
  <c r="CH154" i="175"/>
  <c r="CG154" i="175"/>
  <c r="CF154" i="175"/>
  <c r="CE154" i="175"/>
  <c r="CD154" i="175"/>
  <c r="CC154" i="175"/>
  <c r="CB154" i="175"/>
  <c r="CA154" i="175"/>
  <c r="BY154" i="175"/>
  <c r="BX154" i="175"/>
  <c r="BW154" i="175"/>
  <c r="BT154" i="175"/>
  <c r="BS154" i="175"/>
  <c r="AV154" i="175"/>
  <c r="AC154" i="175"/>
  <c r="DN154" i="175" s="1"/>
  <c r="DJ154" i="175" s="1"/>
  <c r="H154" i="175"/>
  <c r="ED153" i="175"/>
  <c r="EB153" i="175"/>
  <c r="EA153" i="175"/>
  <c r="DZ153" i="175"/>
  <c r="DY153" i="175"/>
  <c r="DX153" i="175"/>
  <c r="DW153" i="175"/>
  <c r="DV153" i="175"/>
  <c r="DT153" i="175"/>
  <c r="DS153" i="175"/>
  <c r="DQ153" i="175"/>
  <c r="DP153" i="175"/>
  <c r="DO153" i="175"/>
  <c r="CZ153" i="175"/>
  <c r="CR153" i="175"/>
  <c r="CN153" i="175"/>
  <c r="CL153" i="175"/>
  <c r="CK153" i="175"/>
  <c r="CI153" i="175"/>
  <c r="CH153" i="175"/>
  <c r="CG153" i="175"/>
  <c r="CF153" i="175"/>
  <c r="CE153" i="175"/>
  <c r="CC153" i="175"/>
  <c r="CB153" i="175"/>
  <c r="CA153" i="175"/>
  <c r="BY153" i="175"/>
  <c r="BX153" i="175"/>
  <c r="BW153" i="175"/>
  <c r="BT153" i="175"/>
  <c r="BS153" i="175"/>
  <c r="BH153" i="175"/>
  <c r="AZ153" i="175"/>
  <c r="AC153" i="175"/>
  <c r="ED152" i="175"/>
  <c r="EB152" i="175"/>
  <c r="EA152" i="175"/>
  <c r="DZ152" i="175"/>
  <c r="DY152" i="175"/>
  <c r="DX152" i="175"/>
  <c r="DW152" i="175"/>
  <c r="DV152" i="175"/>
  <c r="DT152" i="175"/>
  <c r="DS152" i="175"/>
  <c r="DQ152" i="175"/>
  <c r="DP152" i="175"/>
  <c r="DO152" i="175"/>
  <c r="CR152" i="175"/>
  <c r="CL152" i="175"/>
  <c r="CK152" i="175"/>
  <c r="CI152" i="175"/>
  <c r="CI200" i="175" s="1"/>
  <c r="CH152" i="175"/>
  <c r="CG152" i="175"/>
  <c r="CF152" i="175"/>
  <c r="CE152" i="175"/>
  <c r="CE200" i="175" s="1"/>
  <c r="CD152" i="175"/>
  <c r="CC152" i="175"/>
  <c r="CB152" i="175"/>
  <c r="CA152" i="175"/>
  <c r="CA200" i="175" s="1"/>
  <c r="BY152" i="175"/>
  <c r="BX152" i="175"/>
  <c r="BW152" i="175"/>
  <c r="BT152" i="175"/>
  <c r="BS152" i="175"/>
  <c r="AV152" i="175"/>
  <c r="AC152" i="175"/>
  <c r="BV152" i="175" s="1"/>
  <c r="DN151" i="175"/>
  <c r="DJ151" i="175"/>
  <c r="CN151" i="175"/>
  <c r="BV151" i="175"/>
  <c r="BR151" i="175" s="1"/>
  <c r="AV151" i="175"/>
  <c r="AC151" i="175"/>
  <c r="Y151" i="175"/>
  <c r="H151" i="175"/>
  <c r="EB150" i="175"/>
  <c r="EA150" i="175"/>
  <c r="DZ150" i="175"/>
  <c r="DY150" i="175"/>
  <c r="DX150" i="175"/>
  <c r="DW150" i="175"/>
  <c r="DV150" i="175"/>
  <c r="DT150" i="175"/>
  <c r="DS150" i="175"/>
  <c r="DQ150" i="175"/>
  <c r="DP150" i="175"/>
  <c r="DO150" i="175"/>
  <c r="DN150" i="175"/>
  <c r="DH150" i="175"/>
  <c r="DH199" i="175" s="1"/>
  <c r="CK150" i="175"/>
  <c r="CI150" i="175"/>
  <c r="CH150" i="175"/>
  <c r="CG150" i="175"/>
  <c r="CF150" i="175"/>
  <c r="CE150" i="175"/>
  <c r="CD150" i="175"/>
  <c r="CC150" i="175"/>
  <c r="CB150" i="175"/>
  <c r="CA150" i="175"/>
  <c r="BY150" i="175"/>
  <c r="BX150" i="175"/>
  <c r="BW150" i="175"/>
  <c r="BV150" i="175"/>
  <c r="BT150" i="175"/>
  <c r="BS150" i="175"/>
  <c r="BP150" i="175"/>
  <c r="AS150" i="175"/>
  <c r="Y150" i="175" s="1"/>
  <c r="ED149" i="175"/>
  <c r="EB149" i="175"/>
  <c r="EA149" i="175"/>
  <c r="DZ149" i="175"/>
  <c r="DY149" i="175"/>
  <c r="DX149" i="175"/>
  <c r="DW149" i="175"/>
  <c r="DV149" i="175"/>
  <c r="DT149" i="175"/>
  <c r="DS149" i="175"/>
  <c r="DQ149" i="175"/>
  <c r="DJ149" i="175" s="1"/>
  <c r="DP149" i="175"/>
  <c r="DO149" i="175"/>
  <c r="DN149" i="175"/>
  <c r="CN149" i="175"/>
  <c r="CM149" i="175" s="1"/>
  <c r="DI149" i="175" s="1"/>
  <c r="CL149" i="175"/>
  <c r="CK149" i="175"/>
  <c r="CI149" i="175"/>
  <c r="CH149" i="175"/>
  <c r="CG149" i="175"/>
  <c r="CF149" i="175"/>
  <c r="CE149" i="175"/>
  <c r="CD149" i="175"/>
  <c r="CC149" i="175"/>
  <c r="CB149" i="175"/>
  <c r="CA149" i="175"/>
  <c r="BY149" i="175"/>
  <c r="BX149" i="175"/>
  <c r="BW149" i="175"/>
  <c r="BV149" i="175"/>
  <c r="BT149" i="175"/>
  <c r="BS149" i="175"/>
  <c r="AV149" i="175"/>
  <c r="AC149" i="175"/>
  <c r="Y149" i="175"/>
  <c r="AU149" i="175" s="1"/>
  <c r="BQ149" i="175" s="1"/>
  <c r="I149" i="175"/>
  <c r="H149" i="175"/>
  <c r="ED148" i="175"/>
  <c r="EB148" i="175"/>
  <c r="EA148" i="175"/>
  <c r="DZ148" i="175"/>
  <c r="DY148" i="175"/>
  <c r="DX148" i="175"/>
  <c r="DW148" i="175"/>
  <c r="DV148" i="175"/>
  <c r="DT148" i="175"/>
  <c r="DS148" i="175"/>
  <c r="DQ148" i="175"/>
  <c r="DP148" i="175"/>
  <c r="DO148" i="175"/>
  <c r="CR148" i="175"/>
  <c r="DN148" i="175" s="1"/>
  <c r="DJ148" i="175" s="1"/>
  <c r="CN148" i="175"/>
  <c r="CL148" i="175"/>
  <c r="CK148" i="175"/>
  <c r="CI148" i="175"/>
  <c r="CH148" i="175"/>
  <c r="CG148" i="175"/>
  <c r="CF148" i="175"/>
  <c r="CE148" i="175"/>
  <c r="CD148" i="175"/>
  <c r="CC148" i="175"/>
  <c r="CB148" i="175"/>
  <c r="CA148" i="175"/>
  <c r="BY148" i="175"/>
  <c r="BX148" i="175"/>
  <c r="BW148" i="175"/>
  <c r="BT148" i="175"/>
  <c r="BS148" i="175"/>
  <c r="AZ148" i="175"/>
  <c r="AV148" i="175"/>
  <c r="AC148" i="175"/>
  <c r="ED147" i="175"/>
  <c r="EB147" i="175"/>
  <c r="EA147" i="175"/>
  <c r="DZ147" i="175"/>
  <c r="DX147" i="175"/>
  <c r="DW147" i="175"/>
  <c r="DV147" i="175"/>
  <c r="DT147" i="175"/>
  <c r="DS147" i="175"/>
  <c r="DQ147" i="175"/>
  <c r="DP147" i="175"/>
  <c r="DO147" i="175"/>
  <c r="CR147" i="175"/>
  <c r="CN147" i="175"/>
  <c r="CL147" i="175"/>
  <c r="CK147" i="175"/>
  <c r="CI147" i="175"/>
  <c r="CH147" i="175"/>
  <c r="CF147" i="175"/>
  <c r="CE147" i="175"/>
  <c r="CD147" i="175"/>
  <c r="CC147" i="175"/>
  <c r="CB147" i="175"/>
  <c r="CA147" i="175"/>
  <c r="BY147" i="175"/>
  <c r="BX147" i="175"/>
  <c r="BW147" i="175"/>
  <c r="BT147" i="175"/>
  <c r="BS147" i="175"/>
  <c r="AZ147" i="175"/>
  <c r="AV147" i="175" s="1"/>
  <c r="AN147" i="175"/>
  <c r="AC147" i="175"/>
  <c r="ED146" i="175"/>
  <c r="EB146" i="175"/>
  <c r="EA146" i="175"/>
  <c r="DZ146" i="175"/>
  <c r="DY146" i="175"/>
  <c r="DX146" i="175"/>
  <c r="DW146" i="175"/>
  <c r="DV146" i="175"/>
  <c r="DT146" i="175"/>
  <c r="DS146" i="175"/>
  <c r="DQ146" i="175"/>
  <c r="DP146" i="175"/>
  <c r="DO146" i="175"/>
  <c r="DN146" i="175"/>
  <c r="CN146" i="175"/>
  <c r="CL146" i="175"/>
  <c r="CK146" i="175"/>
  <c r="CI146" i="175"/>
  <c r="CH146" i="175"/>
  <c r="CG146" i="175"/>
  <c r="CF146" i="175"/>
  <c r="CE146" i="175"/>
  <c r="CD146" i="175"/>
  <c r="CC146" i="175"/>
  <c r="CB146" i="175"/>
  <c r="CA146" i="175"/>
  <c r="BY146" i="175"/>
  <c r="BX146" i="175"/>
  <c r="BW146" i="175"/>
  <c r="BV146" i="175"/>
  <c r="BT146" i="175"/>
  <c r="BS146" i="175"/>
  <c r="BR146" i="175" s="1"/>
  <c r="AV146" i="175"/>
  <c r="AC146" i="175"/>
  <c r="Y146" i="175"/>
  <c r="ED145" i="175"/>
  <c r="EB145" i="175"/>
  <c r="EA145" i="175"/>
  <c r="DZ145" i="175"/>
  <c r="DY145" i="175"/>
  <c r="DX145" i="175"/>
  <c r="DW145" i="175"/>
  <c r="DV145" i="175"/>
  <c r="DT145" i="175"/>
  <c r="DS145" i="175"/>
  <c r="DQ145" i="175"/>
  <c r="DP145" i="175"/>
  <c r="DO145" i="175"/>
  <c r="DN145" i="175"/>
  <c r="DJ145" i="175" s="1"/>
  <c r="CN145" i="175"/>
  <c r="H145" i="175" s="1"/>
  <c r="CL145" i="175"/>
  <c r="CK145" i="175"/>
  <c r="CI145" i="175"/>
  <c r="CH145" i="175"/>
  <c r="CG145" i="175"/>
  <c r="CF145" i="175"/>
  <c r="CE145" i="175"/>
  <c r="CD145" i="175"/>
  <c r="CC145" i="175"/>
  <c r="CB145" i="175"/>
  <c r="CA145" i="175"/>
  <c r="BY145" i="175"/>
  <c r="BX145" i="175"/>
  <c r="BW145" i="175"/>
  <c r="BT145" i="175"/>
  <c r="BS145" i="175"/>
  <c r="AV145" i="175"/>
  <c r="AC145" i="175"/>
  <c r="BV145" i="175" s="1"/>
  <c r="Y145" i="175"/>
  <c r="CM145" i="175" s="1"/>
  <c r="DI145" i="175" s="1"/>
  <c r="I145" i="175"/>
  <c r="ED144" i="175"/>
  <c r="EB144" i="175"/>
  <c r="EA144" i="175"/>
  <c r="DZ144" i="175"/>
  <c r="DY144" i="175"/>
  <c r="DX144" i="175"/>
  <c r="DW144" i="175"/>
  <c r="DV144" i="175"/>
  <c r="DT144" i="175"/>
  <c r="DS144" i="175"/>
  <c r="DQ144" i="175"/>
  <c r="DP144" i="175"/>
  <c r="DO144" i="175"/>
  <c r="DN144" i="175"/>
  <c r="DJ144" i="175"/>
  <c r="CN144" i="175"/>
  <c r="CL144" i="175"/>
  <c r="CK144" i="175"/>
  <c r="CI144" i="175"/>
  <c r="CH144" i="175"/>
  <c r="CG144" i="175"/>
  <c r="CF144" i="175"/>
  <c r="CE144" i="175"/>
  <c r="CD144" i="175"/>
  <c r="CC144" i="175"/>
  <c r="CB144" i="175"/>
  <c r="CA144" i="175"/>
  <c r="BY144" i="175"/>
  <c r="BX144" i="175"/>
  <c r="BW144" i="175"/>
  <c r="BV144" i="175"/>
  <c r="BT144" i="175"/>
  <c r="BS144" i="175"/>
  <c r="AV144" i="175"/>
  <c r="AC144" i="175"/>
  <c r="Y144" i="175"/>
  <c r="I144" i="175" s="1"/>
  <c r="H144" i="175"/>
  <c r="ED143" i="175"/>
  <c r="EB143" i="175"/>
  <c r="EA143" i="175"/>
  <c r="DZ143" i="175"/>
  <c r="DY143" i="175"/>
  <c r="DX143" i="175"/>
  <c r="DW143" i="175"/>
  <c r="DV143" i="175"/>
  <c r="DT143" i="175"/>
  <c r="DS143" i="175"/>
  <c r="DQ143" i="175"/>
  <c r="DP143" i="175"/>
  <c r="DO143" i="175"/>
  <c r="CN143" i="175"/>
  <c r="CL143" i="175"/>
  <c r="CK143" i="175"/>
  <c r="CI143" i="175"/>
  <c r="CH143" i="175"/>
  <c r="CG143" i="175"/>
  <c r="CF143" i="175"/>
  <c r="CE143" i="175"/>
  <c r="CD143" i="175"/>
  <c r="CC143" i="175"/>
  <c r="CB143" i="175"/>
  <c r="CA143" i="175"/>
  <c r="BY143" i="175"/>
  <c r="BX143" i="175"/>
  <c r="BW143" i="175"/>
  <c r="BT143" i="175"/>
  <c r="BS143" i="175"/>
  <c r="AV143" i="175"/>
  <c r="AC143" i="175"/>
  <c r="H143" i="175"/>
  <c r="ED142" i="175"/>
  <c r="EB142" i="175"/>
  <c r="EA142" i="175"/>
  <c r="DZ142" i="175"/>
  <c r="DY142" i="175"/>
  <c r="DX142" i="175"/>
  <c r="DW142" i="175"/>
  <c r="DV142" i="175"/>
  <c r="DT142" i="175"/>
  <c r="DS142" i="175"/>
  <c r="DQ142" i="175"/>
  <c r="DP142" i="175"/>
  <c r="DO142" i="175"/>
  <c r="CN142" i="175"/>
  <c r="CL142" i="175"/>
  <c r="CK142" i="175"/>
  <c r="CI142" i="175"/>
  <c r="CH142" i="175"/>
  <c r="CG142" i="175"/>
  <c r="CF142" i="175"/>
  <c r="CE142" i="175"/>
  <c r="CD142" i="175"/>
  <c r="CC142" i="175"/>
  <c r="CB142" i="175"/>
  <c r="CA142" i="175"/>
  <c r="BY142" i="175"/>
  <c r="BX142" i="175"/>
  <c r="BW142" i="175"/>
  <c r="BT142" i="175"/>
  <c r="BS142" i="175"/>
  <c r="AZ142" i="175"/>
  <c r="BV142" i="175" s="1"/>
  <c r="AV142" i="175"/>
  <c r="AC142" i="175"/>
  <c r="ED141" i="175"/>
  <c r="EB141" i="175"/>
  <c r="EA141" i="175"/>
  <c r="DZ141" i="175"/>
  <c r="DY141" i="175"/>
  <c r="DX141" i="175"/>
  <c r="DW141" i="175"/>
  <c r="DV141" i="175"/>
  <c r="DT141" i="175"/>
  <c r="DS141" i="175"/>
  <c r="DQ141" i="175"/>
  <c r="DP141" i="175"/>
  <c r="DO141" i="175"/>
  <c r="DJ141" i="175" s="1"/>
  <c r="DN141" i="175"/>
  <c r="CN141" i="175"/>
  <c r="CL141" i="175"/>
  <c r="CK141" i="175"/>
  <c r="CI141" i="175"/>
  <c r="CH141" i="175"/>
  <c r="CG141" i="175"/>
  <c r="CF141" i="175"/>
  <c r="CE141" i="175"/>
  <c r="CD141" i="175"/>
  <c r="CC141" i="175"/>
  <c r="CB141" i="175"/>
  <c r="CA141" i="175"/>
  <c r="BY141" i="175"/>
  <c r="BX141" i="175"/>
  <c r="BW141" i="175"/>
  <c r="BV141" i="175"/>
  <c r="BT141" i="175"/>
  <c r="BS141" i="175"/>
  <c r="AV141" i="175"/>
  <c r="AC141" i="175"/>
  <c r="Y141" i="175"/>
  <c r="H141" i="175"/>
  <c r="ED140" i="175"/>
  <c r="EB140" i="175"/>
  <c r="EA140" i="175"/>
  <c r="DZ140" i="175"/>
  <c r="DY140" i="175"/>
  <c r="DX140" i="175"/>
  <c r="DW140" i="175"/>
  <c r="DV140" i="175"/>
  <c r="DT140" i="175"/>
  <c r="DS140" i="175"/>
  <c r="DQ140" i="175"/>
  <c r="DP140" i="175"/>
  <c r="DO140" i="175"/>
  <c r="CN140" i="175"/>
  <c r="CL140" i="175"/>
  <c r="CK140" i="175"/>
  <c r="CI140" i="175"/>
  <c r="CH140" i="175"/>
  <c r="CG140" i="175"/>
  <c r="CF140" i="175"/>
  <c r="CE140" i="175"/>
  <c r="CD140" i="175"/>
  <c r="CC140" i="175"/>
  <c r="CB140" i="175"/>
  <c r="CA140" i="175"/>
  <c r="BY140" i="175"/>
  <c r="BX140" i="175"/>
  <c r="BW140" i="175"/>
  <c r="BT140" i="175"/>
  <c r="BS140" i="175"/>
  <c r="AV140" i="175"/>
  <c r="AC140" i="175"/>
  <c r="ED139" i="175"/>
  <c r="EB139" i="175"/>
  <c r="EA139" i="175"/>
  <c r="DZ139" i="175"/>
  <c r="DY139" i="175"/>
  <c r="DX139" i="175"/>
  <c r="DW139" i="175"/>
  <c r="DV139" i="175"/>
  <c r="DT139" i="175"/>
  <c r="DS139" i="175"/>
  <c r="DQ139" i="175"/>
  <c r="DP139" i="175"/>
  <c r="DO139" i="175"/>
  <c r="DN139" i="175"/>
  <c r="DJ139" i="175" s="1"/>
  <c r="CN139" i="175"/>
  <c r="CM139" i="175" s="1"/>
  <c r="DI139" i="175" s="1"/>
  <c r="CL139" i="175"/>
  <c r="CK139" i="175"/>
  <c r="CI139" i="175"/>
  <c r="CH139" i="175"/>
  <c r="CG139" i="175"/>
  <c r="CF139" i="175"/>
  <c r="CE139" i="175"/>
  <c r="CC139" i="175"/>
  <c r="CB139" i="175"/>
  <c r="CA139" i="175"/>
  <c r="BY139" i="175"/>
  <c r="BX139" i="175"/>
  <c r="BW139" i="175"/>
  <c r="BT139" i="175"/>
  <c r="BS139" i="175"/>
  <c r="BH139" i="175"/>
  <c r="CD139" i="175" s="1"/>
  <c r="AZ139" i="175"/>
  <c r="AC139" i="175"/>
  <c r="Y139" i="175"/>
  <c r="H139" i="175"/>
  <c r="ED138" i="175"/>
  <c r="EB138" i="175"/>
  <c r="EA138" i="175"/>
  <c r="DZ138" i="175"/>
  <c r="DY138" i="175"/>
  <c r="DX138" i="175"/>
  <c r="DW138" i="175"/>
  <c r="DV138" i="175"/>
  <c r="DU138" i="175"/>
  <c r="DJ138" i="175" s="1"/>
  <c r="DT138" i="175"/>
  <c r="DS138" i="175"/>
  <c r="DQ138" i="175"/>
  <c r="DP138" i="175"/>
  <c r="DO138" i="175"/>
  <c r="DN138" i="175"/>
  <c r="CN138" i="175"/>
  <c r="CL138" i="175"/>
  <c r="CK138" i="175"/>
  <c r="CI138" i="175"/>
  <c r="CH138" i="175"/>
  <c r="CG138" i="175"/>
  <c r="CF138" i="175"/>
  <c r="CE138" i="175"/>
  <c r="CD138" i="175"/>
  <c r="CC138" i="175"/>
  <c r="CB138" i="175"/>
  <c r="CA138" i="175"/>
  <c r="BY138" i="175"/>
  <c r="BX138" i="175"/>
  <c r="BW138" i="175"/>
  <c r="BT138" i="175"/>
  <c r="BS138" i="175"/>
  <c r="AZ138" i="175"/>
  <c r="BV138" i="175" s="1"/>
  <c r="AV138" i="175"/>
  <c r="AU138" i="175" s="1"/>
  <c r="BQ138" i="175" s="1"/>
  <c r="Y138" i="175"/>
  <c r="ED137" i="175"/>
  <c r="EB137" i="175"/>
  <c r="EA137" i="175"/>
  <c r="DZ137" i="175"/>
  <c r="DY137" i="175"/>
  <c r="DX137" i="175"/>
  <c r="DW137" i="175"/>
  <c r="DV137" i="175"/>
  <c r="DU137" i="175"/>
  <c r="DT137" i="175"/>
  <c r="DS137" i="175"/>
  <c r="DQ137" i="175"/>
  <c r="DP137" i="175"/>
  <c r="DO137" i="175"/>
  <c r="CN137" i="175"/>
  <c r="CL137" i="175"/>
  <c r="CK137" i="175"/>
  <c r="CJ137" i="175"/>
  <c r="CI137" i="175"/>
  <c r="CH137" i="175"/>
  <c r="CG137" i="175"/>
  <c r="CF137" i="175"/>
  <c r="CE137" i="175"/>
  <c r="CC137" i="175"/>
  <c r="CB137" i="175"/>
  <c r="CA137" i="175"/>
  <c r="BY137" i="175"/>
  <c r="BX137" i="175"/>
  <c r="BW137" i="175"/>
  <c r="BT137" i="175"/>
  <c r="BS137" i="175"/>
  <c r="BH137" i="175"/>
  <c r="CD137" i="175" s="1"/>
  <c r="AZ137" i="175"/>
  <c r="AC137" i="175"/>
  <c r="ED136" i="175"/>
  <c r="EB136" i="175"/>
  <c r="EA136" i="175"/>
  <c r="DZ136" i="175"/>
  <c r="DY136" i="175"/>
  <c r="DX136" i="175"/>
  <c r="DW136" i="175"/>
  <c r="DV136" i="175"/>
  <c r="DT136" i="175"/>
  <c r="DS136" i="175"/>
  <c r="DQ136" i="175"/>
  <c r="DP136" i="175"/>
  <c r="DO136" i="175"/>
  <c r="DN136" i="175"/>
  <c r="CN136" i="175"/>
  <c r="CL136" i="175"/>
  <c r="CI136" i="175"/>
  <c r="CH136" i="175"/>
  <c r="CG136" i="175"/>
  <c r="CF136" i="175"/>
  <c r="CE136" i="175"/>
  <c r="CD136" i="175"/>
  <c r="CC136" i="175"/>
  <c r="CB136" i="175"/>
  <c r="CA136" i="175"/>
  <c r="BY136" i="175"/>
  <c r="BX136" i="175"/>
  <c r="BW136" i="175"/>
  <c r="BT136" i="175"/>
  <c r="BS136" i="175"/>
  <c r="AV136" i="175"/>
  <c r="AC136" i="175"/>
  <c r="ED135" i="175"/>
  <c r="EB135" i="175"/>
  <c r="EA135" i="175"/>
  <c r="DZ135" i="175"/>
  <c r="DY135" i="175"/>
  <c r="DX135" i="175"/>
  <c r="DW135" i="175"/>
  <c r="DV135" i="175"/>
  <c r="DT135" i="175"/>
  <c r="DS135" i="175"/>
  <c r="DQ135" i="175"/>
  <c r="DP135" i="175"/>
  <c r="CS135" i="175"/>
  <c r="CR135" i="175"/>
  <c r="CL135" i="175"/>
  <c r="CI135" i="175"/>
  <c r="CH135" i="175"/>
  <c r="CG135" i="175"/>
  <c r="CF135" i="175"/>
  <c r="CE135" i="175"/>
  <c r="CD135" i="175"/>
  <c r="CC135" i="175"/>
  <c r="CB135" i="175"/>
  <c r="CA135" i="175"/>
  <c r="BY135" i="175"/>
  <c r="BX135" i="175"/>
  <c r="BT135" i="175"/>
  <c r="BS135" i="175"/>
  <c r="BA135" i="175"/>
  <c r="BA199" i="175" s="1"/>
  <c r="AZ135" i="175"/>
  <c r="AV135" i="175" s="1"/>
  <c r="AD135" i="175"/>
  <c r="AC135" i="175"/>
  <c r="Y135" i="175"/>
  <c r="ED134" i="175"/>
  <c r="EB134" i="175"/>
  <c r="EA134" i="175"/>
  <c r="DZ134" i="175"/>
  <c r="DY134" i="175"/>
  <c r="DX134" i="175"/>
  <c r="DW134" i="175"/>
  <c r="DV134" i="175"/>
  <c r="DT134" i="175"/>
  <c r="DS134" i="175"/>
  <c r="DQ134" i="175"/>
  <c r="DP134" i="175"/>
  <c r="DO134" i="175"/>
  <c r="DD134" i="175"/>
  <c r="CR134" i="175"/>
  <c r="CL134" i="175"/>
  <c r="CI134" i="175"/>
  <c r="CG134" i="175"/>
  <c r="CF134" i="175"/>
  <c r="CE134" i="175"/>
  <c r="CD134" i="175"/>
  <c r="CC134" i="175"/>
  <c r="CB134" i="175"/>
  <c r="CA134" i="175"/>
  <c r="BY134" i="175"/>
  <c r="BX134" i="175"/>
  <c r="BW134" i="175"/>
  <c r="BV134" i="175"/>
  <c r="BT134" i="175"/>
  <c r="BS134" i="175"/>
  <c r="BL134" i="175"/>
  <c r="AZ134" i="175"/>
  <c r="AC134" i="175"/>
  <c r="Y134" i="175"/>
  <c r="ED133" i="175"/>
  <c r="EB133" i="175"/>
  <c r="EA133" i="175"/>
  <c r="DZ133" i="175"/>
  <c r="DY133" i="175"/>
  <c r="DX133" i="175"/>
  <c r="DW133" i="175"/>
  <c r="DV133" i="175"/>
  <c r="DT133" i="175"/>
  <c r="DS133" i="175"/>
  <c r="DQ133" i="175"/>
  <c r="DP133" i="175"/>
  <c r="DO133" i="175"/>
  <c r="DN133" i="175"/>
  <c r="DJ133" i="175"/>
  <c r="CN133" i="175"/>
  <c r="CL133" i="175"/>
  <c r="CI133" i="175"/>
  <c r="CH133" i="175"/>
  <c r="CG133" i="175"/>
  <c r="CF133" i="175"/>
  <c r="CE133" i="175"/>
  <c r="CD133" i="175"/>
  <c r="CC133" i="175"/>
  <c r="CB133" i="175"/>
  <c r="CA133" i="175"/>
  <c r="BY133" i="175"/>
  <c r="BX133" i="175"/>
  <c r="BW133" i="175"/>
  <c r="BT133" i="175"/>
  <c r="BS133" i="175"/>
  <c r="AZ133" i="175"/>
  <c r="BV133" i="175" s="1"/>
  <c r="Y133" i="175"/>
  <c r="H133" i="175"/>
  <c r="ED132" i="175"/>
  <c r="EB132" i="175"/>
  <c r="EA132" i="175"/>
  <c r="DZ132" i="175"/>
  <c r="DY132" i="175"/>
  <c r="DX132" i="175"/>
  <c r="DW132" i="175"/>
  <c r="DV132" i="175"/>
  <c r="DT132" i="175"/>
  <c r="DS132" i="175"/>
  <c r="DQ132" i="175"/>
  <c r="DP132" i="175"/>
  <c r="DO132" i="175"/>
  <c r="DN132" i="175"/>
  <c r="CN132" i="175"/>
  <c r="CM132" i="175"/>
  <c r="DI132" i="175" s="1"/>
  <c r="CL132" i="175"/>
  <c r="CI132" i="175"/>
  <c r="CH132" i="175"/>
  <c r="CG132" i="175"/>
  <c r="CF132" i="175"/>
  <c r="CE132" i="175"/>
  <c r="CD132" i="175"/>
  <c r="CC132" i="175"/>
  <c r="CB132" i="175"/>
  <c r="CA132" i="175"/>
  <c r="BY132" i="175"/>
  <c r="BX132" i="175"/>
  <c r="BW132" i="175"/>
  <c r="BV132" i="175"/>
  <c r="BT132" i="175"/>
  <c r="BS132" i="175"/>
  <c r="BR132" i="175" s="1"/>
  <c r="AV132" i="175"/>
  <c r="AU132" i="175" s="1"/>
  <c r="BQ132" i="175" s="1"/>
  <c r="AO132" i="175"/>
  <c r="AE132" i="175"/>
  <c r="AC132" i="175"/>
  <c r="Y132" i="175"/>
  <c r="H132" i="175"/>
  <c r="ED131" i="175"/>
  <c r="EB131" i="175"/>
  <c r="EA131" i="175"/>
  <c r="DZ131" i="175"/>
  <c r="DY131" i="175"/>
  <c r="DX131" i="175"/>
  <c r="DW131" i="175"/>
  <c r="DV131" i="175"/>
  <c r="DT131" i="175"/>
  <c r="DS131" i="175"/>
  <c r="DQ131" i="175"/>
  <c r="DO131" i="175"/>
  <c r="DN131" i="175"/>
  <c r="CT131" i="175"/>
  <c r="DP131" i="175" s="1"/>
  <c r="CN131" i="175"/>
  <c r="CL131" i="175"/>
  <c r="CI131" i="175"/>
  <c r="CH131" i="175"/>
  <c r="CG131" i="175"/>
  <c r="CF131" i="175"/>
  <c r="CE131" i="175"/>
  <c r="CD131" i="175"/>
  <c r="CC131" i="175"/>
  <c r="CB131" i="175"/>
  <c r="CA131" i="175"/>
  <c r="BY131" i="175"/>
  <c r="BW131" i="175"/>
  <c r="BV131" i="175"/>
  <c r="BT131" i="175"/>
  <c r="BS131" i="175"/>
  <c r="BB131" i="175"/>
  <c r="Y131" i="175"/>
  <c r="ED130" i="175"/>
  <c r="EB130" i="175"/>
  <c r="EA130" i="175"/>
  <c r="DZ130" i="175"/>
  <c r="DY130" i="175"/>
  <c r="DX130" i="175"/>
  <c r="DW130" i="175"/>
  <c r="DV130" i="175"/>
  <c r="DT130" i="175"/>
  <c r="DS130" i="175"/>
  <c r="DQ130" i="175"/>
  <c r="DO130" i="175"/>
  <c r="DN130" i="175"/>
  <c r="CT130" i="175"/>
  <c r="CL130" i="175"/>
  <c r="CI130" i="175"/>
  <c r="CH130" i="175"/>
  <c r="CG130" i="175"/>
  <c r="CF130" i="175"/>
  <c r="CE130" i="175"/>
  <c r="CD130" i="175"/>
  <c r="CC130" i="175"/>
  <c r="CB130" i="175"/>
  <c r="CA130" i="175"/>
  <c r="BY130" i="175"/>
  <c r="BX130" i="175"/>
  <c r="BW130" i="175"/>
  <c r="BV130" i="175"/>
  <c r="BT130" i="175"/>
  <c r="BS130" i="175"/>
  <c r="BR130" i="175" s="1"/>
  <c r="BQ130" i="175"/>
  <c r="BB130" i="175"/>
  <c r="AV130" i="175" s="1"/>
  <c r="AU130" i="175" s="1"/>
  <c r="Y130" i="175"/>
  <c r="EC129" i="175"/>
  <c r="DU129" i="175"/>
  <c r="DR129" i="175"/>
  <c r="DO129" i="175"/>
  <c r="DG129" i="175"/>
  <c r="DF129" i="175"/>
  <c r="DA129" i="175"/>
  <c r="CZ129" i="175"/>
  <c r="CY129" i="175"/>
  <c r="CX129" i="175"/>
  <c r="CW129" i="175"/>
  <c r="CU129" i="175"/>
  <c r="CT129" i="175"/>
  <c r="CR129" i="175"/>
  <c r="CP129" i="175"/>
  <c r="CK129" i="175"/>
  <c r="CJ129" i="175"/>
  <c r="CC129" i="175"/>
  <c r="BZ129" i="175"/>
  <c r="BW129" i="175"/>
  <c r="BO129" i="175"/>
  <c r="BN129" i="175"/>
  <c r="BI129" i="175"/>
  <c r="BH129" i="175"/>
  <c r="BG129" i="175"/>
  <c r="BF129" i="175"/>
  <c r="BE129" i="175"/>
  <c r="BD129" i="175"/>
  <c r="BC129" i="175"/>
  <c r="BB129" i="175"/>
  <c r="AZ129" i="175"/>
  <c r="AX129" i="175"/>
  <c r="AS129" i="175"/>
  <c r="AR129" i="175"/>
  <c r="AQ129" i="175"/>
  <c r="AP129" i="175"/>
  <c r="AO129" i="175"/>
  <c r="AN129" i="175"/>
  <c r="AM129" i="175"/>
  <c r="AL129" i="175"/>
  <c r="AK129" i="175"/>
  <c r="AJ129" i="175"/>
  <c r="AI129" i="175"/>
  <c r="AH129" i="175"/>
  <c r="AG129" i="175"/>
  <c r="AF129" i="175"/>
  <c r="AE129" i="175"/>
  <c r="AD129" i="175"/>
  <c r="AC129" i="175"/>
  <c r="AB129" i="175"/>
  <c r="AA129" i="175"/>
  <c r="Z129" i="175"/>
  <c r="G129" i="175"/>
  <c r="ED128" i="175"/>
  <c r="EB128" i="175"/>
  <c r="EA128" i="175"/>
  <c r="DZ128" i="175"/>
  <c r="DY128" i="175"/>
  <c r="DW128" i="175"/>
  <c r="DV128" i="175"/>
  <c r="DT128" i="175"/>
  <c r="DS128" i="175"/>
  <c r="DQ128" i="175"/>
  <c r="DP128" i="175"/>
  <c r="DN128" i="175"/>
  <c r="DK128" i="175"/>
  <c r="DB128" i="175"/>
  <c r="CL128" i="175"/>
  <c r="CI128" i="175"/>
  <c r="CH128" i="175"/>
  <c r="CG128" i="175"/>
  <c r="CE128" i="175"/>
  <c r="CD128" i="175"/>
  <c r="BY128" i="175"/>
  <c r="BX128" i="175"/>
  <c r="BV128" i="175"/>
  <c r="BT128" i="175"/>
  <c r="BS128" i="175"/>
  <c r="BJ128" i="175"/>
  <c r="Y128" i="175"/>
  <c r="ED127" i="175"/>
  <c r="EB127" i="175"/>
  <c r="DZ127" i="175"/>
  <c r="DX127" i="175"/>
  <c r="DW127" i="175"/>
  <c r="DV127" i="175"/>
  <c r="DT127" i="175"/>
  <c r="DS127" i="175"/>
  <c r="DQ127" i="175"/>
  <c r="DP127" i="175"/>
  <c r="DN127" i="175"/>
  <c r="DK127" i="175"/>
  <c r="DE127" i="175"/>
  <c r="EA127" i="175" s="1"/>
  <c r="DC127" i="175"/>
  <c r="DY127" i="175" s="1"/>
  <c r="CL127" i="175"/>
  <c r="CH127" i="175"/>
  <c r="CF127" i="175"/>
  <c r="CE127" i="175"/>
  <c r="CD127" i="175"/>
  <c r="BY127" i="175"/>
  <c r="BX127" i="175"/>
  <c r="BV127" i="175"/>
  <c r="BT127" i="175"/>
  <c r="BS127" i="175"/>
  <c r="BM127" i="175"/>
  <c r="CI127" i="175" s="1"/>
  <c r="BK127" i="175"/>
  <c r="CG127" i="175" s="1"/>
  <c r="Y127" i="175"/>
  <c r="ED126" i="175"/>
  <c r="EB126" i="175"/>
  <c r="EA126" i="175"/>
  <c r="DZ126" i="175"/>
  <c r="DY126" i="175"/>
  <c r="DX126" i="175"/>
  <c r="DW126" i="175"/>
  <c r="DV126" i="175"/>
  <c r="DT126" i="175"/>
  <c r="DS126" i="175"/>
  <c r="DQ126" i="175"/>
  <c r="DP126" i="175"/>
  <c r="DN126" i="175"/>
  <c r="DK126" i="175"/>
  <c r="DE126" i="175"/>
  <c r="CN126" i="175" s="1"/>
  <c r="CM126" i="175" s="1"/>
  <c r="DI126" i="175" s="1"/>
  <c r="CL126" i="175"/>
  <c r="CH126" i="175"/>
  <c r="CG126" i="175"/>
  <c r="CF126" i="175"/>
  <c r="CE126" i="175"/>
  <c r="CD126" i="175"/>
  <c r="BY126" i="175"/>
  <c r="BX126" i="175"/>
  <c r="BV126" i="175"/>
  <c r="BT126" i="175"/>
  <c r="BS126" i="175"/>
  <c r="BM126" i="175"/>
  <c r="CI126" i="175" s="1"/>
  <c r="AV126" i="175"/>
  <c r="AU126" i="175" s="1"/>
  <c r="BQ126" i="175" s="1"/>
  <c r="Y126" i="175"/>
  <c r="H126" i="175"/>
  <c r="ED124" i="175"/>
  <c r="EB124" i="175"/>
  <c r="DW124" i="175"/>
  <c r="DV124" i="175"/>
  <c r="DT124" i="175"/>
  <c r="DS124" i="175"/>
  <c r="DQ124" i="175"/>
  <c r="DP124" i="175"/>
  <c r="DN124" i="175"/>
  <c r="DE124" i="175"/>
  <c r="EA124" i="175" s="1"/>
  <c r="DD124" i="175"/>
  <c r="DD206" i="175" s="1"/>
  <c r="DC124" i="175"/>
  <c r="DY124" i="175" s="1"/>
  <c r="DB124" i="175"/>
  <c r="CO124" i="175"/>
  <c r="DK124" i="175" s="1"/>
  <c r="CL124" i="175"/>
  <c r="CE124" i="175"/>
  <c r="CD124" i="175"/>
  <c r="BY124" i="175"/>
  <c r="BX124" i="175"/>
  <c r="BV124" i="175"/>
  <c r="BT124" i="175"/>
  <c r="BS124" i="175"/>
  <c r="BM124" i="175"/>
  <c r="CI124" i="175" s="1"/>
  <c r="BL124" i="175"/>
  <c r="CH124" i="175" s="1"/>
  <c r="BK124" i="175"/>
  <c r="CG124" i="175" s="1"/>
  <c r="BJ124" i="175"/>
  <c r="CF124" i="175" s="1"/>
  <c r="AW124" i="175"/>
  <c r="AV124" i="175" s="1"/>
  <c r="AU124" i="175" s="1"/>
  <c r="BQ124" i="175" s="1"/>
  <c r="AO124" i="175"/>
  <c r="AO206" i="175" s="1"/>
  <c r="Y124" i="175"/>
  <c r="EB122" i="175"/>
  <c r="EA122" i="175"/>
  <c r="DZ122" i="175"/>
  <c r="DY122" i="175"/>
  <c r="DX122" i="175"/>
  <c r="DW122" i="175"/>
  <c r="DV122" i="175"/>
  <c r="DT122" i="175"/>
  <c r="DS122" i="175"/>
  <c r="DQ122" i="175"/>
  <c r="DP122" i="175"/>
  <c r="DN122" i="175"/>
  <c r="DK122" i="175"/>
  <c r="DH122" i="175"/>
  <c r="CN122" i="175"/>
  <c r="H122" i="175" s="1"/>
  <c r="CL122" i="175"/>
  <c r="CI122" i="175"/>
  <c r="CH122" i="175"/>
  <c r="CG122" i="175"/>
  <c r="CE122" i="175"/>
  <c r="CD122" i="175"/>
  <c r="BY122" i="175"/>
  <c r="BX122" i="175"/>
  <c r="BV122" i="175"/>
  <c r="BT122" i="175"/>
  <c r="BS122" i="175"/>
  <c r="BP122" i="175"/>
  <c r="BJ122" i="175"/>
  <c r="CF122" i="175" s="1"/>
  <c r="AS122" i="175"/>
  <c r="AM122" i="175"/>
  <c r="AM206" i="175" s="1"/>
  <c r="Y122" i="175"/>
  <c r="EB118" i="175"/>
  <c r="EA118" i="175"/>
  <c r="DZ118" i="175"/>
  <c r="DY118" i="175"/>
  <c r="DW118" i="175"/>
  <c r="DV118" i="175"/>
  <c r="DT118" i="175"/>
  <c r="DS118" i="175"/>
  <c r="DQ118" i="175"/>
  <c r="DP118" i="175"/>
  <c r="DN118" i="175"/>
  <c r="DK118" i="175"/>
  <c r="DH118" i="175"/>
  <c r="ED118" i="175" s="1"/>
  <c r="DB118" i="175"/>
  <c r="CI118" i="175"/>
  <c r="CH118" i="175"/>
  <c r="CG118" i="175"/>
  <c r="CE118" i="175"/>
  <c r="CD118" i="175"/>
  <c r="CC118" i="175"/>
  <c r="CB118" i="175"/>
  <c r="CA118" i="175"/>
  <c r="BY118" i="175"/>
  <c r="BX118" i="175"/>
  <c r="BV118" i="175"/>
  <c r="BT118" i="175"/>
  <c r="BS118" i="175"/>
  <c r="BP118" i="175"/>
  <c r="BJ118" i="175"/>
  <c r="CF118" i="175" s="1"/>
  <c r="AS118" i="175"/>
  <c r="ED115" i="175"/>
  <c r="EB115" i="175"/>
  <c r="EA115" i="175"/>
  <c r="DZ115" i="175"/>
  <c r="DY115" i="175"/>
  <c r="DW115" i="175"/>
  <c r="DV115" i="175"/>
  <c r="DT115" i="175"/>
  <c r="DS115" i="175"/>
  <c r="DQ115" i="175"/>
  <c r="DP115" i="175"/>
  <c r="DN115" i="175"/>
  <c r="DK115" i="175"/>
  <c r="DH115" i="175"/>
  <c r="DB115" i="175" s="1"/>
  <c r="CN115" i="175" s="1"/>
  <c r="CL115" i="175"/>
  <c r="BR115" i="175" s="1"/>
  <c r="CI115" i="175"/>
  <c r="CH115" i="175"/>
  <c r="CG115" i="175"/>
  <c r="CF115" i="175"/>
  <c r="CE115" i="175"/>
  <c r="CD115" i="175"/>
  <c r="CC115" i="175"/>
  <c r="CB115" i="175"/>
  <c r="CA115" i="175"/>
  <c r="BY115" i="175"/>
  <c r="BX115" i="175"/>
  <c r="BV115" i="175"/>
  <c r="BT115" i="175"/>
  <c r="BS115" i="175"/>
  <c r="BQ115" i="175"/>
  <c r="BP115" i="175"/>
  <c r="BJ115" i="175"/>
  <c r="AV115" i="175" s="1"/>
  <c r="AU115" i="175"/>
  <c r="AS115" i="175"/>
  <c r="Y115" i="175"/>
  <c r="DZ114" i="175"/>
  <c r="DJ114" i="175"/>
  <c r="CN114" i="175"/>
  <c r="BL114" i="175"/>
  <c r="BL129" i="175" s="1"/>
  <c r="Y114" i="175"/>
  <c r="I114" i="175" s="1"/>
  <c r="H114" i="175"/>
  <c r="ED113" i="175"/>
  <c r="DP113" i="175"/>
  <c r="DK113" i="175"/>
  <c r="DC113" i="175"/>
  <c r="DY113" i="175" s="1"/>
  <c r="CL113" i="175"/>
  <c r="CH113" i="175"/>
  <c r="CF113" i="175"/>
  <c r="CE113" i="175"/>
  <c r="BV113" i="175"/>
  <c r="BT113" i="175"/>
  <c r="BS113" i="175"/>
  <c r="BK113" i="175"/>
  <c r="AV113" i="175" s="1"/>
  <c r="AU113" i="175"/>
  <c r="BQ113" i="175" s="1"/>
  <c r="Y113" i="175"/>
  <c r="ED112" i="175"/>
  <c r="DY112" i="175"/>
  <c r="DP112" i="175"/>
  <c r="CO112" i="175"/>
  <c r="CN112" i="175" s="1"/>
  <c r="CL112" i="175"/>
  <c r="CH112" i="175"/>
  <c r="CG112" i="175"/>
  <c r="CF112" i="175"/>
  <c r="CE112" i="175"/>
  <c r="BV112" i="175"/>
  <c r="BT112" i="175"/>
  <c r="AW112" i="175"/>
  <c r="BS112" i="175" s="1"/>
  <c r="AV112" i="175"/>
  <c r="Y112" i="175"/>
  <c r="ED111" i="175"/>
  <c r="EB111" i="175"/>
  <c r="DZ111" i="175"/>
  <c r="DY111" i="175"/>
  <c r="DX111" i="175"/>
  <c r="DW111" i="175"/>
  <c r="DW129" i="175" s="1"/>
  <c r="DV111" i="175"/>
  <c r="DT111" i="175"/>
  <c r="DS111" i="175"/>
  <c r="DQ111" i="175"/>
  <c r="DP111" i="175"/>
  <c r="DN111" i="175"/>
  <c r="DK111" i="175"/>
  <c r="DJ111" i="175" s="1"/>
  <c r="DE111" i="175"/>
  <c r="EA111" i="175" s="1"/>
  <c r="CL111" i="175"/>
  <c r="CH111" i="175"/>
  <c r="CG111" i="175"/>
  <c r="CE111" i="175"/>
  <c r="CD111" i="175"/>
  <c r="CC111" i="175"/>
  <c r="CB111" i="175"/>
  <c r="CA111" i="175"/>
  <c r="BY111" i="175"/>
  <c r="BX111" i="175"/>
  <c r="BV111" i="175"/>
  <c r="BT111" i="175"/>
  <c r="BS111" i="175"/>
  <c r="BM111" i="175"/>
  <c r="CI111" i="175" s="1"/>
  <c r="BJ111" i="175"/>
  <c r="Y111" i="175"/>
  <c r="ED110" i="175"/>
  <c r="EB110" i="175"/>
  <c r="EA110" i="175"/>
  <c r="DZ110" i="175"/>
  <c r="DY110" i="175"/>
  <c r="DX110" i="175"/>
  <c r="DW110" i="175"/>
  <c r="DV110" i="175"/>
  <c r="DT110" i="175"/>
  <c r="DS110" i="175"/>
  <c r="DQ110" i="175"/>
  <c r="DP110" i="175"/>
  <c r="DN110" i="175"/>
  <c r="DJ110" i="175" s="1"/>
  <c r="DK110" i="175"/>
  <c r="CN110" i="175"/>
  <c r="CL110" i="175"/>
  <c r="CI110" i="175"/>
  <c r="CH110" i="175"/>
  <c r="CG110" i="175"/>
  <c r="CF110" i="175"/>
  <c r="CE110" i="175"/>
  <c r="CD110" i="175"/>
  <c r="CC110" i="175"/>
  <c r="CB110" i="175"/>
  <c r="CA110" i="175"/>
  <c r="CA129" i="175" s="1"/>
  <c r="BY110" i="175"/>
  <c r="BX110" i="175"/>
  <c r="BV110" i="175"/>
  <c r="BT110" i="175"/>
  <c r="BS110" i="175"/>
  <c r="BQ110" i="175"/>
  <c r="AV110" i="175"/>
  <c r="AU110" i="175"/>
  <c r="Y110" i="175"/>
  <c r="EB109" i="175"/>
  <c r="EA109" i="175"/>
  <c r="DZ109" i="175"/>
  <c r="DY109" i="175"/>
  <c r="DX109" i="175"/>
  <c r="DW109" i="175"/>
  <c r="DV109" i="175"/>
  <c r="DT109" i="175"/>
  <c r="DS109" i="175"/>
  <c r="DQ109" i="175"/>
  <c r="DP109" i="175"/>
  <c r="DN109" i="175"/>
  <c r="DK109" i="175"/>
  <c r="DH109" i="175"/>
  <c r="CI109" i="175"/>
  <c r="CH109" i="175"/>
  <c r="CG109" i="175"/>
  <c r="CF109" i="175"/>
  <c r="CE109" i="175"/>
  <c r="CD109" i="175"/>
  <c r="CC109" i="175"/>
  <c r="CB109" i="175"/>
  <c r="CB129" i="175" s="1"/>
  <c r="CA109" i="175"/>
  <c r="BY109" i="175"/>
  <c r="BX109" i="175"/>
  <c r="BV109" i="175"/>
  <c r="BT109" i="175"/>
  <c r="BS109" i="175"/>
  <c r="BP109" i="175"/>
  <c r="AS109" i="175"/>
  <c r="Y109" i="175"/>
  <c r="ED108" i="175"/>
  <c r="EB108" i="175"/>
  <c r="DZ108" i="175"/>
  <c r="DY108" i="175"/>
  <c r="DX108" i="175"/>
  <c r="DW108" i="175"/>
  <c r="DV108" i="175"/>
  <c r="DT108" i="175"/>
  <c r="DS108" i="175"/>
  <c r="DQ108" i="175"/>
  <c r="DP108" i="175"/>
  <c r="DN108" i="175"/>
  <c r="DK108" i="175"/>
  <c r="DE108" i="175"/>
  <c r="EA108" i="175" s="1"/>
  <c r="CN108" i="175"/>
  <c r="CL108" i="175"/>
  <c r="CH108" i="175"/>
  <c r="CG108" i="175"/>
  <c r="CF108" i="175"/>
  <c r="CE108" i="175"/>
  <c r="CD108" i="175"/>
  <c r="BY108" i="175"/>
  <c r="BX108" i="175"/>
  <c r="BV108" i="175"/>
  <c r="BT108" i="175"/>
  <c r="BS108" i="175"/>
  <c r="BM108" i="175"/>
  <c r="Y108" i="175"/>
  <c r="ED107" i="175"/>
  <c r="EB107" i="175"/>
  <c r="EB129" i="175" s="1"/>
  <c r="DZ107" i="175"/>
  <c r="DY107" i="175"/>
  <c r="DX107" i="175"/>
  <c r="DW107" i="175"/>
  <c r="DV107" i="175"/>
  <c r="DT107" i="175"/>
  <c r="DS107" i="175"/>
  <c r="DQ107" i="175"/>
  <c r="DP107" i="175"/>
  <c r="DN107" i="175"/>
  <c r="DK107" i="175"/>
  <c r="DE107" i="175"/>
  <c r="EA107" i="175" s="1"/>
  <c r="CL107" i="175"/>
  <c r="CH107" i="175"/>
  <c r="CG107" i="175"/>
  <c r="CF107" i="175"/>
  <c r="CE107" i="175"/>
  <c r="CD107" i="175"/>
  <c r="BY107" i="175"/>
  <c r="BX107" i="175"/>
  <c r="BV107" i="175"/>
  <c r="BT107" i="175"/>
  <c r="BS107" i="175"/>
  <c r="BM107" i="175"/>
  <c r="CI107" i="175" s="1"/>
  <c r="AV107" i="175"/>
  <c r="AU107" i="175" s="1"/>
  <c r="BQ107" i="175" s="1"/>
  <c r="Y107" i="175"/>
  <c r="ED106" i="175"/>
  <c r="EB106" i="175"/>
  <c r="EA106" i="175"/>
  <c r="DZ106" i="175"/>
  <c r="DY106" i="175"/>
  <c r="DX106" i="175"/>
  <c r="DW106" i="175"/>
  <c r="DV106" i="175"/>
  <c r="DT106" i="175"/>
  <c r="DS106" i="175"/>
  <c r="DQ106" i="175"/>
  <c r="DP106" i="175"/>
  <c r="DN106" i="175"/>
  <c r="DM106" i="175"/>
  <c r="DM206" i="175" s="1"/>
  <c r="DK106" i="175"/>
  <c r="DE106" i="175"/>
  <c r="CN106" i="175"/>
  <c r="H106" i="175" s="1"/>
  <c r="CL106" i="175"/>
  <c r="CH106" i="175"/>
  <c r="CG106" i="175"/>
  <c r="CF106" i="175"/>
  <c r="CE106" i="175"/>
  <c r="CD106" i="175"/>
  <c r="BY106" i="175"/>
  <c r="BX106" i="175"/>
  <c r="BV106" i="175"/>
  <c r="BT106" i="175"/>
  <c r="BS106" i="175"/>
  <c r="BM106" i="175"/>
  <c r="AA106" i="175"/>
  <c r="AA206" i="175" s="1"/>
  <c r="Y106" i="175"/>
  <c r="EC104" i="175"/>
  <c r="DU104" i="175"/>
  <c r="DR104" i="175"/>
  <c r="DK104" i="175"/>
  <c r="DG104" i="175"/>
  <c r="DF104" i="175"/>
  <c r="DE104" i="175"/>
  <c r="DD104" i="175"/>
  <c r="DB104" i="175"/>
  <c r="CZ104" i="175"/>
  <c r="CY104" i="175"/>
  <c r="CX104" i="175"/>
  <c r="CW104" i="175"/>
  <c r="CP104" i="175"/>
  <c r="CO104" i="175"/>
  <c r="CK104" i="175"/>
  <c r="BZ104" i="175"/>
  <c r="BU104" i="175"/>
  <c r="BO104" i="175"/>
  <c r="BN104" i="175"/>
  <c r="BM104" i="175"/>
  <c r="BL104" i="175"/>
  <c r="BJ104" i="175"/>
  <c r="BH104" i="175"/>
  <c r="BG104" i="175"/>
  <c r="BF104" i="175"/>
  <c r="BE104" i="175"/>
  <c r="BD104" i="175"/>
  <c r="AZ104" i="175"/>
  <c r="AX104" i="175"/>
  <c r="AW104" i="175"/>
  <c r="AR104" i="175"/>
  <c r="AQ104" i="175"/>
  <c r="AP104" i="175"/>
  <c r="AO104" i="175"/>
  <c r="AM104" i="175"/>
  <c r="AL104" i="175"/>
  <c r="AK104" i="175"/>
  <c r="AJ104" i="175"/>
  <c r="AI104" i="175"/>
  <c r="AH104" i="175"/>
  <c r="AG104" i="175"/>
  <c r="AD104" i="175"/>
  <c r="AB104" i="175"/>
  <c r="Z104" i="175"/>
  <c r="G104" i="175"/>
  <c r="EB103" i="175"/>
  <c r="EA103" i="175"/>
  <c r="DZ103" i="175"/>
  <c r="DY103" i="175"/>
  <c r="DX103" i="175"/>
  <c r="DW103" i="175"/>
  <c r="DV103" i="175"/>
  <c r="DT103" i="175"/>
  <c r="DS103" i="175"/>
  <c r="DQ103" i="175"/>
  <c r="DP103" i="175"/>
  <c r="DN103" i="175"/>
  <c r="DH103" i="175"/>
  <c r="CN103" i="175"/>
  <c r="CI103" i="175"/>
  <c r="CH103" i="175"/>
  <c r="CG103" i="175"/>
  <c r="CF103" i="175"/>
  <c r="CE103" i="175"/>
  <c r="CD103" i="175"/>
  <c r="CB103" i="175"/>
  <c r="CA103" i="175"/>
  <c r="BY103" i="175"/>
  <c r="BX103" i="175"/>
  <c r="BV103" i="175"/>
  <c r="BT103" i="175"/>
  <c r="BS103" i="175"/>
  <c r="BP103" i="175"/>
  <c r="AV103" i="175" s="1"/>
  <c r="AS103" i="175"/>
  <c r="Y103" i="175" s="1"/>
  <c r="ED102" i="175"/>
  <c r="EB102" i="175"/>
  <c r="EA102" i="175"/>
  <c r="DZ102" i="175"/>
  <c r="DY102" i="175"/>
  <c r="DX102" i="175"/>
  <c r="DW102" i="175"/>
  <c r="DV102" i="175"/>
  <c r="DT102" i="175"/>
  <c r="DS102" i="175"/>
  <c r="DQ102" i="175"/>
  <c r="DN102" i="175"/>
  <c r="CT102" i="175"/>
  <c r="CN102" i="175"/>
  <c r="H102" i="175" s="1"/>
  <c r="I102" i="175" s="1"/>
  <c r="CL102" i="175"/>
  <c r="CI102" i="175"/>
  <c r="CH102" i="175"/>
  <c r="CG102" i="175"/>
  <c r="CF102" i="175"/>
  <c r="CE102" i="175"/>
  <c r="CD102" i="175"/>
  <c r="CB102" i="175"/>
  <c r="CA102" i="175"/>
  <c r="BY102" i="175"/>
  <c r="BX102" i="175"/>
  <c r="BT102" i="175"/>
  <c r="BS102" i="175"/>
  <c r="BB102" i="175"/>
  <c r="AZ102" i="175"/>
  <c r="BV102" i="175" s="1"/>
  <c r="AV102" i="175"/>
  <c r="AU102" i="175"/>
  <c r="BQ102" i="175" s="1"/>
  <c r="AE102" i="175"/>
  <c r="AC102" i="175"/>
  <c r="Y102" i="175"/>
  <c r="ED101" i="175"/>
  <c r="EB101" i="175"/>
  <c r="EA101" i="175"/>
  <c r="DZ101" i="175"/>
  <c r="DX101" i="175"/>
  <c r="DW101" i="175"/>
  <c r="DV101" i="175"/>
  <c r="DT101" i="175"/>
  <c r="DS101" i="175"/>
  <c r="DQ101" i="175"/>
  <c r="DO101" i="175"/>
  <c r="DO204" i="175" s="1"/>
  <c r="DC101" i="175"/>
  <c r="DY101" i="175" s="1"/>
  <c r="CT101" i="175"/>
  <c r="CL101" i="175"/>
  <c r="CI101" i="175"/>
  <c r="CH101" i="175"/>
  <c r="CF101" i="175"/>
  <c r="CE101" i="175"/>
  <c r="CD101" i="175"/>
  <c r="CB101" i="175"/>
  <c r="CA101" i="175"/>
  <c r="BY101" i="175"/>
  <c r="BT101" i="175"/>
  <c r="BS101" i="175"/>
  <c r="BK101" i="175"/>
  <c r="CG101" i="175" s="1"/>
  <c r="BB101" i="175"/>
  <c r="BX101" i="175" s="1"/>
  <c r="BA101" i="175"/>
  <c r="AE101" i="175"/>
  <c r="AC101" i="175"/>
  <c r="ED99" i="175"/>
  <c r="EB99" i="175"/>
  <c r="EA99" i="175"/>
  <c r="DZ99" i="175"/>
  <c r="DX99" i="175"/>
  <c r="DW99" i="175"/>
  <c r="DV99" i="175"/>
  <c r="DT99" i="175"/>
  <c r="DS99" i="175"/>
  <c r="DQ99" i="175"/>
  <c r="DP99" i="175"/>
  <c r="DN99" i="175"/>
  <c r="CN99" i="175"/>
  <c r="H99" i="175" s="1"/>
  <c r="CL99" i="175"/>
  <c r="CI99" i="175"/>
  <c r="CH99" i="175"/>
  <c r="CF99" i="175"/>
  <c r="CE99" i="175"/>
  <c r="CD99" i="175"/>
  <c r="CB99" i="175"/>
  <c r="CA99" i="175"/>
  <c r="BY99" i="175"/>
  <c r="BV99" i="175"/>
  <c r="BT99" i="175"/>
  <c r="BS99" i="175"/>
  <c r="BK99" i="175"/>
  <c r="CG99" i="175" s="1"/>
  <c r="BB99" i="175"/>
  <c r="AV99" i="175" s="1"/>
  <c r="AN99" i="175"/>
  <c r="AE99" i="175"/>
  <c r="ED98" i="175"/>
  <c r="EB98" i="175"/>
  <c r="EA98" i="175"/>
  <c r="DZ98" i="175"/>
  <c r="DY98" i="175"/>
  <c r="DX98" i="175"/>
  <c r="DW98" i="175"/>
  <c r="DV98" i="175"/>
  <c r="DT98" i="175"/>
  <c r="DS98" i="175"/>
  <c r="DQ98" i="175"/>
  <c r="DN98" i="175"/>
  <c r="DM98" i="175"/>
  <c r="DL98" i="175"/>
  <c r="CT98" i="175"/>
  <c r="CN98" i="175" s="1"/>
  <c r="CM98" i="175" s="1"/>
  <c r="DI98" i="175" s="1"/>
  <c r="CL98" i="175"/>
  <c r="CI98" i="175"/>
  <c r="CH98" i="175"/>
  <c r="CG98" i="175"/>
  <c r="CF98" i="175"/>
  <c r="CE98" i="175"/>
  <c r="CD98" i="175"/>
  <c r="CB98" i="175"/>
  <c r="CA98" i="175"/>
  <c r="BY98" i="175"/>
  <c r="BV98" i="175"/>
  <c r="BS98" i="175"/>
  <c r="BB98" i="175"/>
  <c r="BX98" i="175" s="1"/>
  <c r="AE98" i="175"/>
  <c r="AA98" i="175"/>
  <c r="BT98" i="175" s="1"/>
  <c r="Y98" i="175"/>
  <c r="ED97" i="175"/>
  <c r="EB97" i="175"/>
  <c r="EA97" i="175"/>
  <c r="DZ97" i="175"/>
  <c r="DY97" i="175"/>
  <c r="DX97" i="175"/>
  <c r="DW97" i="175"/>
  <c r="DV97" i="175"/>
  <c r="DT97" i="175"/>
  <c r="DS97" i="175"/>
  <c r="DQ97" i="175"/>
  <c r="DN97" i="175"/>
  <c r="CN97" i="175"/>
  <c r="CL97" i="175"/>
  <c r="CI97" i="175"/>
  <c r="CH97" i="175"/>
  <c r="CG97" i="175"/>
  <c r="CF97" i="175"/>
  <c r="CE97" i="175"/>
  <c r="CD97" i="175"/>
  <c r="CB97" i="175"/>
  <c r="CA97" i="175"/>
  <c r="BY97" i="175"/>
  <c r="BV97" i="175"/>
  <c r="BT97" i="175"/>
  <c r="BS97" i="175"/>
  <c r="BB97" i="175"/>
  <c r="AV97" i="175"/>
  <c r="AE97" i="175"/>
  <c r="H97" i="175"/>
  <c r="ED96" i="175"/>
  <c r="EB96" i="175"/>
  <c r="EA96" i="175"/>
  <c r="DZ96" i="175"/>
  <c r="DY96" i="175"/>
  <c r="DX96" i="175"/>
  <c r="DW96" i="175"/>
  <c r="DV96" i="175"/>
  <c r="DT96" i="175"/>
  <c r="DS96" i="175"/>
  <c r="DQ96" i="175"/>
  <c r="DN96" i="175"/>
  <c r="DM96" i="175"/>
  <c r="CT96" i="175"/>
  <c r="CL96" i="175"/>
  <c r="CI96" i="175"/>
  <c r="CH96" i="175"/>
  <c r="CG96" i="175"/>
  <c r="CF96" i="175"/>
  <c r="CE96" i="175"/>
  <c r="CD96" i="175"/>
  <c r="CB96" i="175"/>
  <c r="CA96" i="175"/>
  <c r="BY96" i="175"/>
  <c r="BV96" i="175"/>
  <c r="BS96" i="175"/>
  <c r="BB96" i="175"/>
  <c r="BX96" i="175" s="1"/>
  <c r="AA96" i="175"/>
  <c r="ED95" i="175"/>
  <c r="EB95" i="175"/>
  <c r="EA95" i="175"/>
  <c r="DZ95" i="175"/>
  <c r="DY95" i="175"/>
  <c r="DX95" i="175"/>
  <c r="DW95" i="175"/>
  <c r="DV95" i="175"/>
  <c r="DT95" i="175"/>
  <c r="DS95" i="175"/>
  <c r="DQ95" i="175"/>
  <c r="DP95" i="175"/>
  <c r="DN95" i="175"/>
  <c r="DM95" i="175"/>
  <c r="DL95" i="175"/>
  <c r="CT95" i="175"/>
  <c r="CN95" i="175" s="1"/>
  <c r="H95" i="175" s="1"/>
  <c r="CM95" i="175"/>
  <c r="DI95" i="175" s="1"/>
  <c r="CL95" i="175"/>
  <c r="CI95" i="175"/>
  <c r="CH95" i="175"/>
  <c r="CG95" i="175"/>
  <c r="CF95" i="175"/>
  <c r="CE95" i="175"/>
  <c r="CD95" i="175"/>
  <c r="CB95" i="175"/>
  <c r="CA95" i="175"/>
  <c r="BY95" i="175"/>
  <c r="BV95" i="175"/>
  <c r="BS95" i="175"/>
  <c r="BB95" i="175"/>
  <c r="AV95" i="175" s="1"/>
  <c r="AU95" i="175" s="1"/>
  <c r="BQ95" i="175" s="1"/>
  <c r="AE95" i="175"/>
  <c r="AA95" i="175"/>
  <c r="BT95" i="175" s="1"/>
  <c r="Y95" i="175"/>
  <c r="I95" i="175"/>
  <c r="ED94" i="175"/>
  <c r="EB94" i="175"/>
  <c r="EA94" i="175"/>
  <c r="DZ94" i="175"/>
  <c r="DY94" i="175"/>
  <c r="DX94" i="175"/>
  <c r="DW94" i="175"/>
  <c r="DV94" i="175"/>
  <c r="DT94" i="175"/>
  <c r="DS94" i="175"/>
  <c r="DQ94" i="175"/>
  <c r="DP94" i="175"/>
  <c r="DN94" i="175"/>
  <c r="DI94" i="175"/>
  <c r="CN94" i="175"/>
  <c r="CM94" i="175"/>
  <c r="CL94" i="175"/>
  <c r="CI94" i="175"/>
  <c r="CH94" i="175"/>
  <c r="CG94" i="175"/>
  <c r="CF94" i="175"/>
  <c r="CE94" i="175"/>
  <c r="CD94" i="175"/>
  <c r="CB94" i="175"/>
  <c r="CA94" i="175"/>
  <c r="BY94" i="175"/>
  <c r="BX94" i="175"/>
  <c r="BV94" i="175"/>
  <c r="BT94" i="175"/>
  <c r="BS94" i="175"/>
  <c r="BR94" i="175" s="1"/>
  <c r="AV94" i="175"/>
  <c r="AU94" i="175"/>
  <c r="BQ94" i="175" s="1"/>
  <c r="Y94" i="175"/>
  <c r="H94" i="175"/>
  <c r="ED93" i="175"/>
  <c r="EB93" i="175"/>
  <c r="EA93" i="175"/>
  <c r="DZ93" i="175"/>
  <c r="DY93" i="175"/>
  <c r="DX93" i="175"/>
  <c r="DW93" i="175"/>
  <c r="DV93" i="175"/>
  <c r="DT93" i="175"/>
  <c r="DS93" i="175"/>
  <c r="DQ93" i="175"/>
  <c r="DN93" i="175"/>
  <c r="CT93" i="175"/>
  <c r="CN93" i="175" s="1"/>
  <c r="H93" i="175" s="1"/>
  <c r="CL93" i="175"/>
  <c r="CI93" i="175"/>
  <c r="CH93" i="175"/>
  <c r="CG93" i="175"/>
  <c r="CF93" i="175"/>
  <c r="CE93" i="175"/>
  <c r="CD93" i="175"/>
  <c r="CB93" i="175"/>
  <c r="CA93" i="175"/>
  <c r="BY93" i="175"/>
  <c r="BV93" i="175"/>
  <c r="BT93" i="175"/>
  <c r="BS93" i="175"/>
  <c r="BB93" i="175"/>
  <c r="AV93" i="175" s="1"/>
  <c r="AU93" i="175" s="1"/>
  <c r="BQ93" i="175" s="1"/>
  <c r="Y93" i="175"/>
  <c r="ED92" i="175"/>
  <c r="EB92" i="175"/>
  <c r="EA92" i="175"/>
  <c r="DZ92" i="175"/>
  <c r="DY92" i="175"/>
  <c r="DX92" i="175"/>
  <c r="DW92" i="175"/>
  <c r="DV92" i="175"/>
  <c r="DT92" i="175"/>
  <c r="DS92" i="175"/>
  <c r="DQ92" i="175"/>
  <c r="DN92" i="175"/>
  <c r="CT92" i="175"/>
  <c r="CL92" i="175"/>
  <c r="CI92" i="175"/>
  <c r="CH92" i="175"/>
  <c r="CG92" i="175"/>
  <c r="CF92" i="175"/>
  <c r="CE92" i="175"/>
  <c r="CD92" i="175"/>
  <c r="CB92" i="175"/>
  <c r="CA92" i="175"/>
  <c r="BY92" i="175"/>
  <c r="BV92" i="175"/>
  <c r="BT92" i="175"/>
  <c r="BS92" i="175"/>
  <c r="BB92" i="175"/>
  <c r="AV92" i="175" s="1"/>
  <c r="AU92" i="175" s="1"/>
  <c r="BQ92" i="175" s="1"/>
  <c r="AF92" i="175"/>
  <c r="Y92" i="175" s="1"/>
  <c r="ED91" i="175"/>
  <c r="EB91" i="175"/>
  <c r="EA91" i="175"/>
  <c r="DZ91" i="175"/>
  <c r="DY91" i="175"/>
  <c r="DX91" i="175"/>
  <c r="DW91" i="175"/>
  <c r="DV91" i="175"/>
  <c r="DT91" i="175"/>
  <c r="DS91" i="175"/>
  <c r="DP91" i="175"/>
  <c r="DN91" i="175"/>
  <c r="CU91" i="175"/>
  <c r="CL91" i="175"/>
  <c r="CI91" i="175"/>
  <c r="CH91" i="175"/>
  <c r="CG91" i="175"/>
  <c r="CF91" i="175"/>
  <c r="CE91" i="175"/>
  <c r="CD91" i="175"/>
  <c r="CB91" i="175"/>
  <c r="CA91" i="175"/>
  <c r="BY91" i="175"/>
  <c r="BX91" i="175"/>
  <c r="BV91" i="175"/>
  <c r="BT91" i="175"/>
  <c r="BS91" i="175"/>
  <c r="BC91" i="175"/>
  <c r="AV91" i="175"/>
  <c r="AU91" i="175" s="1"/>
  <c r="BQ91" i="175" s="1"/>
  <c r="AF91" i="175"/>
  <c r="Y91" i="175"/>
  <c r="ED90" i="175"/>
  <c r="EB90" i="175"/>
  <c r="EA90" i="175"/>
  <c r="DZ90" i="175"/>
  <c r="DX90" i="175"/>
  <c r="DW90" i="175"/>
  <c r="DV90" i="175"/>
  <c r="DT90" i="175"/>
  <c r="DS90" i="175"/>
  <c r="DQ90" i="175"/>
  <c r="DP90" i="175"/>
  <c r="DC90" i="175"/>
  <c r="DY90" i="175" s="1"/>
  <c r="CR90" i="175"/>
  <c r="CN90" i="175" s="1"/>
  <c r="CL90" i="175"/>
  <c r="CI90" i="175"/>
  <c r="CH90" i="175"/>
  <c r="CG90" i="175"/>
  <c r="CF90" i="175"/>
  <c r="CE90" i="175"/>
  <c r="CD90" i="175"/>
  <c r="CB90" i="175"/>
  <c r="CA90" i="175"/>
  <c r="BY90" i="175"/>
  <c r="BX90" i="175"/>
  <c r="BV90" i="175"/>
  <c r="BT90" i="175"/>
  <c r="BS90" i="175"/>
  <c r="BR90" i="175" s="1"/>
  <c r="BK90" i="175"/>
  <c r="AZ90" i="175"/>
  <c r="AV90" i="175"/>
  <c r="AU90" i="175"/>
  <c r="BQ90" i="175" s="1"/>
  <c r="Y90" i="175"/>
  <c r="ED89" i="175"/>
  <c r="EB89" i="175"/>
  <c r="EA89" i="175"/>
  <c r="DZ89" i="175"/>
  <c r="DY89" i="175"/>
  <c r="DX89" i="175"/>
  <c r="DW89" i="175"/>
  <c r="DV89" i="175"/>
  <c r="DT89" i="175"/>
  <c r="DS89" i="175"/>
  <c r="DQ89" i="175"/>
  <c r="DP89" i="175"/>
  <c r="DN89" i="175"/>
  <c r="DJ89" i="175" s="1"/>
  <c r="CN89" i="175"/>
  <c r="CM89" i="175" s="1"/>
  <c r="DI89" i="175" s="1"/>
  <c r="CL89" i="175"/>
  <c r="CI89" i="175"/>
  <c r="CH89" i="175"/>
  <c r="CG89" i="175"/>
  <c r="CF89" i="175"/>
  <c r="CE89" i="175"/>
  <c r="CD89" i="175"/>
  <c r="CB89" i="175"/>
  <c r="CA89" i="175"/>
  <c r="BY89" i="175"/>
  <c r="BX89" i="175"/>
  <c r="BR89" i="175" s="1"/>
  <c r="BV89" i="175"/>
  <c r="BT89" i="175"/>
  <c r="BS89" i="175"/>
  <c r="BK89" i="175"/>
  <c r="BB89" i="175"/>
  <c r="AV89" i="175"/>
  <c r="AU89" i="175"/>
  <c r="BQ89" i="175" s="1"/>
  <c r="AC89" i="175"/>
  <c r="Y89" i="175"/>
  <c r="ED88" i="175"/>
  <c r="EB88" i="175"/>
  <c r="EA88" i="175"/>
  <c r="DZ88" i="175"/>
  <c r="DY88" i="175"/>
  <c r="DX88" i="175"/>
  <c r="DW88" i="175"/>
  <c r="DV88" i="175"/>
  <c r="DT88" i="175"/>
  <c r="DS88" i="175"/>
  <c r="DQ88" i="175"/>
  <c r="DP88" i="175"/>
  <c r="DN88" i="175"/>
  <c r="DM88" i="175"/>
  <c r="DL88" i="175"/>
  <c r="DJ88" i="175" s="1"/>
  <c r="CN88" i="175"/>
  <c r="CL88" i="175"/>
  <c r="CI88" i="175"/>
  <c r="CH88" i="175"/>
  <c r="CG88" i="175"/>
  <c r="CF88" i="175"/>
  <c r="CE88" i="175"/>
  <c r="CD88" i="175"/>
  <c r="CB88" i="175"/>
  <c r="CA88" i="175"/>
  <c r="BY88" i="175"/>
  <c r="BX88" i="175"/>
  <c r="BV88" i="175"/>
  <c r="BT88" i="175"/>
  <c r="BS88" i="175"/>
  <c r="AV88" i="175"/>
  <c r="AU88" i="175"/>
  <c r="BQ88" i="175" s="1"/>
  <c r="AA88" i="175"/>
  <c r="Y88" i="175"/>
  <c r="CM88" i="175" s="1"/>
  <c r="DI88" i="175" s="1"/>
  <c r="H88" i="175"/>
  <c r="I88" i="175" s="1"/>
  <c r="ED87" i="175"/>
  <c r="EB87" i="175"/>
  <c r="EA87" i="175"/>
  <c r="DZ87" i="175"/>
  <c r="DY87" i="175"/>
  <c r="DX87" i="175"/>
  <c r="DV87" i="175"/>
  <c r="DT87" i="175"/>
  <c r="DS87" i="175"/>
  <c r="DQ87" i="175"/>
  <c r="DP87" i="175"/>
  <c r="DN87" i="175"/>
  <c r="DA87" i="175"/>
  <c r="CL87" i="175"/>
  <c r="CI87" i="175"/>
  <c r="CH87" i="175"/>
  <c r="CG87" i="175"/>
  <c r="CF87" i="175"/>
  <c r="CD87" i="175"/>
  <c r="CB87" i="175"/>
  <c r="CA87" i="175"/>
  <c r="BY87" i="175"/>
  <c r="BX87" i="175"/>
  <c r="BV87" i="175"/>
  <c r="BT87" i="175"/>
  <c r="BS87" i="175"/>
  <c r="BI87" i="175"/>
  <c r="BI204" i="175" s="1"/>
  <c r="AV87" i="175"/>
  <c r="AL87" i="175"/>
  <c r="EB86" i="175"/>
  <c r="EA86" i="175"/>
  <c r="DZ86" i="175"/>
  <c r="DY86" i="175"/>
  <c r="DX86" i="175"/>
  <c r="DW86" i="175"/>
  <c r="DV86" i="175"/>
  <c r="DT86" i="175"/>
  <c r="DS86" i="175"/>
  <c r="DQ86" i="175"/>
  <c r="DP86" i="175"/>
  <c r="DN86" i="175"/>
  <c r="DH86" i="175"/>
  <c r="ED86" i="175" s="1"/>
  <c r="CN86" i="175"/>
  <c r="H86" i="175" s="1"/>
  <c r="CI86" i="175"/>
  <c r="CH86" i="175"/>
  <c r="CG86" i="175"/>
  <c r="CF86" i="175"/>
  <c r="CE86" i="175"/>
  <c r="CD86" i="175"/>
  <c r="CB86" i="175"/>
  <c r="CA86" i="175"/>
  <c r="BY86" i="175"/>
  <c r="BX86" i="175"/>
  <c r="BV86" i="175"/>
  <c r="BT86" i="175"/>
  <c r="BS86" i="175"/>
  <c r="BP86" i="175"/>
  <c r="AV86" i="175"/>
  <c r="AS86" i="175"/>
  <c r="EB85" i="175"/>
  <c r="EA85" i="175"/>
  <c r="DZ85" i="175"/>
  <c r="DY85" i="175"/>
  <c r="DX85" i="175"/>
  <c r="DW85" i="175"/>
  <c r="DV85" i="175"/>
  <c r="DT85" i="175"/>
  <c r="DS85" i="175"/>
  <c r="DQ85" i="175"/>
  <c r="DP85" i="175"/>
  <c r="DN85" i="175"/>
  <c r="DH85" i="175"/>
  <c r="ED85" i="175" s="1"/>
  <c r="CN85" i="175"/>
  <c r="CI85" i="175"/>
  <c r="CH85" i="175"/>
  <c r="CG85" i="175"/>
  <c r="CF85" i="175"/>
  <c r="CE85" i="175"/>
  <c r="CD85" i="175"/>
  <c r="CB85" i="175"/>
  <c r="CA85" i="175"/>
  <c r="BY85" i="175"/>
  <c r="BX85" i="175"/>
  <c r="BV85" i="175"/>
  <c r="BT85" i="175"/>
  <c r="BS85" i="175"/>
  <c r="BP85" i="175"/>
  <c r="AV85" i="175" s="1"/>
  <c r="AS85" i="175"/>
  <c r="Y85" i="175"/>
  <c r="H85" i="175"/>
  <c r="ED84" i="175"/>
  <c r="EB84" i="175"/>
  <c r="EA84" i="175"/>
  <c r="DZ84" i="175"/>
  <c r="DY84" i="175"/>
  <c r="DX84" i="175"/>
  <c r="DW84" i="175"/>
  <c r="DV84" i="175"/>
  <c r="DT84" i="175"/>
  <c r="DS84" i="175"/>
  <c r="DP84" i="175"/>
  <c r="DN84" i="175"/>
  <c r="DM84" i="175"/>
  <c r="CU84" i="175"/>
  <c r="CN84" i="175" s="1"/>
  <c r="CL84" i="175"/>
  <c r="CI84" i="175"/>
  <c r="CH84" i="175"/>
  <c r="CG84" i="175"/>
  <c r="CF84" i="175"/>
  <c r="CE84" i="175"/>
  <c r="CD84" i="175"/>
  <c r="CC84" i="175"/>
  <c r="CB84" i="175"/>
  <c r="CA84" i="175"/>
  <c r="BX84" i="175"/>
  <c r="BV84" i="175"/>
  <c r="BS84" i="175"/>
  <c r="BC84" i="175"/>
  <c r="AV84" i="175" s="1"/>
  <c r="AF84" i="175"/>
  <c r="AA84" i="175"/>
  <c r="BT84" i="175" s="1"/>
  <c r="ED83" i="175"/>
  <c r="EB83" i="175"/>
  <c r="EA83" i="175"/>
  <c r="DZ83" i="175"/>
  <c r="DY83" i="175"/>
  <c r="DX83" i="175"/>
  <c r="DW83" i="175"/>
  <c r="DV83" i="175"/>
  <c r="DT83" i="175"/>
  <c r="DS83" i="175"/>
  <c r="DP83" i="175"/>
  <c r="DN83" i="175"/>
  <c r="DM83" i="175"/>
  <c r="CU83" i="175"/>
  <c r="DQ83" i="175" s="1"/>
  <c r="CN83" i="175"/>
  <c r="H83" i="175" s="1"/>
  <c r="CL83" i="175"/>
  <c r="CI83" i="175"/>
  <c r="CH83" i="175"/>
  <c r="CG83" i="175"/>
  <c r="CF83" i="175"/>
  <c r="CE83" i="175"/>
  <c r="CD83" i="175"/>
  <c r="CC83" i="175"/>
  <c r="CB83" i="175"/>
  <c r="CA83" i="175"/>
  <c r="BX83" i="175"/>
  <c r="BV83" i="175"/>
  <c r="BS83" i="175"/>
  <c r="BC83" i="175"/>
  <c r="BY83" i="175" s="1"/>
  <c r="AV83" i="175"/>
  <c r="AA83" i="175"/>
  <c r="EB82" i="175"/>
  <c r="EA82" i="175"/>
  <c r="DZ82" i="175"/>
  <c r="DY82" i="175"/>
  <c r="DX82" i="175"/>
  <c r="DW82" i="175"/>
  <c r="DV82" i="175"/>
  <c r="DT82" i="175"/>
  <c r="DS82" i="175"/>
  <c r="DQ82" i="175"/>
  <c r="DP82" i="175"/>
  <c r="DN82" i="175"/>
  <c r="DH82" i="175"/>
  <c r="CN82" i="175" s="1"/>
  <c r="CI82" i="175"/>
  <c r="CH82" i="175"/>
  <c r="CG82" i="175"/>
  <c r="CF82" i="175"/>
  <c r="CE82" i="175"/>
  <c r="CD82" i="175"/>
  <c r="CC82" i="175"/>
  <c r="CB82" i="175"/>
  <c r="CA82" i="175"/>
  <c r="BY82" i="175"/>
  <c r="BX82" i="175"/>
  <c r="BV82" i="175"/>
  <c r="BT82" i="175"/>
  <c r="BS82" i="175"/>
  <c r="BP82" i="175"/>
  <c r="AV82" i="175"/>
  <c r="AS82" i="175"/>
  <c r="CL82" i="175" s="1"/>
  <c r="Y82" i="175"/>
  <c r="ED81" i="175"/>
  <c r="EB81" i="175"/>
  <c r="EA81" i="175"/>
  <c r="DZ81" i="175"/>
  <c r="DY81" i="175"/>
  <c r="DX81" i="175"/>
  <c r="DW81" i="175"/>
  <c r="DV81" i="175"/>
  <c r="DT81" i="175"/>
  <c r="DS81" i="175"/>
  <c r="DP81" i="175"/>
  <c r="DN81" i="175"/>
  <c r="CU81" i="175"/>
  <c r="DQ81" i="175" s="1"/>
  <c r="DJ81" i="175" s="1"/>
  <c r="CN81" i="175"/>
  <c r="CM81" i="175" s="1"/>
  <c r="DI81" i="175" s="1"/>
  <c r="CL81" i="175"/>
  <c r="CJ81" i="175"/>
  <c r="CI81" i="175"/>
  <c r="CH81" i="175"/>
  <c r="CG81" i="175"/>
  <c r="CF81" i="175"/>
  <c r="CE81" i="175"/>
  <c r="CD81" i="175"/>
  <c r="CC81" i="175"/>
  <c r="CB81" i="175"/>
  <c r="CA81" i="175"/>
  <c r="BX81" i="175"/>
  <c r="BV81" i="175"/>
  <c r="BT81" i="175"/>
  <c r="BS81" i="175"/>
  <c r="BC81" i="175"/>
  <c r="BY81" i="175" s="1"/>
  <c r="AV81" i="175"/>
  <c r="AU81" i="175" s="1"/>
  <c r="BQ81" i="175" s="1"/>
  <c r="AF81" i="175"/>
  <c r="Y81" i="175"/>
  <c r="EB80" i="175"/>
  <c r="EA80" i="175"/>
  <c r="DZ80" i="175"/>
  <c r="DY80" i="175"/>
  <c r="DX80" i="175"/>
  <c r="DW80" i="175"/>
  <c r="DV80" i="175"/>
  <c r="DT80" i="175"/>
  <c r="DS80" i="175"/>
  <c r="DQ80" i="175"/>
  <c r="DP80" i="175"/>
  <c r="DN80" i="175"/>
  <c r="DH80" i="175"/>
  <c r="CN80" i="175" s="1"/>
  <c r="H80" i="175" s="1"/>
  <c r="CL80" i="175"/>
  <c r="CI80" i="175"/>
  <c r="CH80" i="175"/>
  <c r="CG80" i="175"/>
  <c r="CF80" i="175"/>
  <c r="CE80" i="175"/>
  <c r="CD80" i="175"/>
  <c r="CB80" i="175"/>
  <c r="CA80" i="175"/>
  <c r="BY80" i="175"/>
  <c r="BX80" i="175"/>
  <c r="BV80" i="175"/>
  <c r="BT80" i="175"/>
  <c r="BS80" i="175"/>
  <c r="BP80" i="175"/>
  <c r="AV80" i="175"/>
  <c r="AS80" i="175"/>
  <c r="Y80" i="175" s="1"/>
  <c r="EB79" i="175"/>
  <c r="EA79" i="175"/>
  <c r="DZ79" i="175"/>
  <c r="DY79" i="175"/>
  <c r="DX79" i="175"/>
  <c r="DW79" i="175"/>
  <c r="DV79" i="175"/>
  <c r="DT79" i="175"/>
  <c r="DS79" i="175"/>
  <c r="DQ79" i="175"/>
  <c r="DP79" i="175"/>
  <c r="DN79" i="175"/>
  <c r="DH79" i="175"/>
  <c r="ED79" i="175" s="1"/>
  <c r="CN79" i="175"/>
  <c r="H79" i="175" s="1"/>
  <c r="I79" i="175" s="1"/>
  <c r="CM79" i="175"/>
  <c r="DI79" i="175" s="1"/>
  <c r="CI79" i="175"/>
  <c r="CH79" i="175"/>
  <c r="CG79" i="175"/>
  <c r="CF79" i="175"/>
  <c r="CE79" i="175"/>
  <c r="CD79" i="175"/>
  <c r="CC79" i="175"/>
  <c r="CB79" i="175"/>
  <c r="CA79" i="175"/>
  <c r="BY79" i="175"/>
  <c r="BX79" i="175"/>
  <c r="BV79" i="175"/>
  <c r="BT79" i="175"/>
  <c r="BS79" i="175"/>
  <c r="BP79" i="175"/>
  <c r="CL79" i="175" s="1"/>
  <c r="BR79" i="175" s="1"/>
  <c r="AV79" i="175"/>
  <c r="AS79" i="175"/>
  <c r="Y79" i="175" s="1"/>
  <c r="ED78" i="175"/>
  <c r="EB78" i="175"/>
  <c r="EA78" i="175"/>
  <c r="DZ78" i="175"/>
  <c r="DY78" i="175"/>
  <c r="DX78" i="175"/>
  <c r="DW78" i="175"/>
  <c r="DV78" i="175"/>
  <c r="DT78" i="175"/>
  <c r="DS78" i="175"/>
  <c r="DP78" i="175"/>
  <c r="DN78" i="175"/>
  <c r="DM78" i="175"/>
  <c r="DL78" i="175"/>
  <c r="CU78" i="175"/>
  <c r="CN78" i="175"/>
  <c r="H78" i="175" s="1"/>
  <c r="CL78" i="175"/>
  <c r="CI78" i="175"/>
  <c r="CH78" i="175"/>
  <c r="CG78" i="175"/>
  <c r="CF78" i="175"/>
  <c r="CE78" i="175"/>
  <c r="CD78" i="175"/>
  <c r="CC78" i="175"/>
  <c r="CB78" i="175"/>
  <c r="CA78" i="175"/>
  <c r="BX78" i="175"/>
  <c r="BV78" i="175"/>
  <c r="BS78" i="175"/>
  <c r="BC78" i="175"/>
  <c r="AV78" i="175" s="1"/>
  <c r="AF78" i="175"/>
  <c r="AA78" i="175"/>
  <c r="EB77" i="175"/>
  <c r="EA77" i="175"/>
  <c r="DZ77" i="175"/>
  <c r="DY77" i="175"/>
  <c r="DX77" i="175"/>
  <c r="DW77" i="175"/>
  <c r="DV77" i="175"/>
  <c r="DT77" i="175"/>
  <c r="DS77" i="175"/>
  <c r="DQ77" i="175"/>
  <c r="DP77" i="175"/>
  <c r="DN77" i="175"/>
  <c r="CN77" i="175"/>
  <c r="CI77" i="175"/>
  <c r="CH77" i="175"/>
  <c r="CG77" i="175"/>
  <c r="CF77" i="175"/>
  <c r="CE77" i="175"/>
  <c r="CD77" i="175"/>
  <c r="CC77" i="175"/>
  <c r="CB77" i="175"/>
  <c r="CA77" i="175"/>
  <c r="BY77" i="175"/>
  <c r="BX77" i="175"/>
  <c r="BV77" i="175"/>
  <c r="BT77" i="175"/>
  <c r="BS77" i="175"/>
  <c r="BP77" i="175"/>
  <c r="CL77" i="175" s="1"/>
  <c r="AV77" i="175"/>
  <c r="AU77" i="175" s="1"/>
  <c r="BQ77" i="175" s="1"/>
  <c r="AS77" i="175"/>
  <c r="Y77" i="175" s="1"/>
  <c r="ED76" i="175"/>
  <c r="EB76" i="175"/>
  <c r="EA76" i="175"/>
  <c r="DZ76" i="175"/>
  <c r="DY76" i="175"/>
  <c r="DX76" i="175"/>
  <c r="DW76" i="175"/>
  <c r="DV76" i="175"/>
  <c r="DT76" i="175"/>
  <c r="DS76" i="175"/>
  <c r="DQ76" i="175"/>
  <c r="DN76" i="175"/>
  <c r="CT76" i="175"/>
  <c r="DP76" i="175" s="1"/>
  <c r="CN76" i="175"/>
  <c r="CL76" i="175"/>
  <c r="CJ76" i="175"/>
  <c r="CI76" i="175"/>
  <c r="CH76" i="175"/>
  <c r="CG76" i="175"/>
  <c r="CF76" i="175"/>
  <c r="CE76" i="175"/>
  <c r="CD76" i="175"/>
  <c r="CC76" i="175"/>
  <c r="CB76" i="175"/>
  <c r="CA76" i="175"/>
  <c r="BY76" i="175"/>
  <c r="BV76" i="175"/>
  <c r="BT76" i="175"/>
  <c r="BS76" i="175"/>
  <c r="BB76" i="175"/>
  <c r="AV76" i="175" s="1"/>
  <c r="AU76" i="175"/>
  <c r="BQ76" i="175" s="1"/>
  <c r="Y76" i="175"/>
  <c r="ED75" i="175"/>
  <c r="EB75" i="175"/>
  <c r="EA75" i="175"/>
  <c r="DZ75" i="175"/>
  <c r="DX75" i="175"/>
  <c r="DW75" i="175"/>
  <c r="DV75" i="175"/>
  <c r="DT75" i="175"/>
  <c r="DS75" i="175"/>
  <c r="DQ75" i="175"/>
  <c r="DN75" i="175"/>
  <c r="DC75" i="175"/>
  <c r="DY75" i="175" s="1"/>
  <c r="CT75" i="175"/>
  <c r="CL75" i="175"/>
  <c r="CJ75" i="175"/>
  <c r="CI75" i="175"/>
  <c r="CH75" i="175"/>
  <c r="CF75" i="175"/>
  <c r="CE75" i="175"/>
  <c r="CD75" i="175"/>
  <c r="CC75" i="175"/>
  <c r="CB75" i="175"/>
  <c r="CA75" i="175"/>
  <c r="BY75" i="175"/>
  <c r="BV75" i="175"/>
  <c r="BT75" i="175"/>
  <c r="BS75" i="175"/>
  <c r="BK75" i="175"/>
  <c r="CG75" i="175" s="1"/>
  <c r="BB75" i="175"/>
  <c r="BX75" i="175" s="1"/>
  <c r="AV75" i="175"/>
  <c r="AU75" i="175" s="1"/>
  <c r="BQ75" i="175" s="1"/>
  <c r="Y75" i="175"/>
  <c r="ED74" i="175"/>
  <c r="EB74" i="175"/>
  <c r="EA74" i="175"/>
  <c r="DZ74" i="175"/>
  <c r="DY74" i="175"/>
  <c r="DX74" i="175"/>
  <c r="DW74" i="175"/>
  <c r="DV74" i="175"/>
  <c r="DT74" i="175"/>
  <c r="DS74" i="175"/>
  <c r="DP74" i="175"/>
  <c r="DN74" i="175"/>
  <c r="CU74" i="175"/>
  <c r="DQ74" i="175" s="1"/>
  <c r="CN74" i="175"/>
  <c r="CL74" i="175"/>
  <c r="CJ74" i="175"/>
  <c r="CI74" i="175"/>
  <c r="CH74" i="175"/>
  <c r="CG74" i="175"/>
  <c r="CF74" i="175"/>
  <c r="CE74" i="175"/>
  <c r="CD74" i="175"/>
  <c r="CC74" i="175"/>
  <c r="CB74" i="175"/>
  <c r="CA74" i="175"/>
  <c r="BX74" i="175"/>
  <c r="BV74" i="175"/>
  <c r="BT74" i="175"/>
  <c r="BS74" i="175"/>
  <c r="BC74" i="175"/>
  <c r="AF74" i="175"/>
  <c r="Y74" i="175"/>
  <c r="EB73" i="175"/>
  <c r="EA73" i="175"/>
  <c r="DZ73" i="175"/>
  <c r="DY73" i="175"/>
  <c r="DX73" i="175"/>
  <c r="DW73" i="175"/>
  <c r="DV73" i="175"/>
  <c r="DT73" i="175"/>
  <c r="DS73" i="175"/>
  <c r="DQ73" i="175"/>
  <c r="DP73" i="175"/>
  <c r="DN73" i="175"/>
  <c r="DH73" i="175"/>
  <c r="CN73" i="175"/>
  <c r="CI73" i="175"/>
  <c r="CH73" i="175"/>
  <c r="CG73" i="175"/>
  <c r="CF73" i="175"/>
  <c r="CE73" i="175"/>
  <c r="CD73" i="175"/>
  <c r="CC73" i="175"/>
  <c r="CB73" i="175"/>
  <c r="BY73" i="175"/>
  <c r="BX73" i="175"/>
  <c r="BV73" i="175"/>
  <c r="BT73" i="175"/>
  <c r="BS73" i="175"/>
  <c r="BP73" i="175"/>
  <c r="AV73" i="175"/>
  <c r="AS73" i="175"/>
  <c r="EB72" i="175"/>
  <c r="EA72" i="175"/>
  <c r="DZ72" i="175"/>
  <c r="DY72" i="175"/>
  <c r="DX72" i="175"/>
  <c r="DW72" i="175"/>
  <c r="DV72" i="175"/>
  <c r="DT72" i="175"/>
  <c r="DS72" i="175"/>
  <c r="DQ72" i="175"/>
  <c r="DP72" i="175"/>
  <c r="DN72" i="175"/>
  <c r="DH72" i="175"/>
  <c r="CJ72" i="175"/>
  <c r="CI72" i="175"/>
  <c r="CH72" i="175"/>
  <c r="CG72" i="175"/>
  <c r="CF72" i="175"/>
  <c r="CE72" i="175"/>
  <c r="CD72" i="175"/>
  <c r="CC72" i="175"/>
  <c r="CB72" i="175"/>
  <c r="CA72" i="175"/>
  <c r="BY72" i="175"/>
  <c r="BX72" i="175"/>
  <c r="BV72" i="175"/>
  <c r="BT72" i="175"/>
  <c r="BS72" i="175"/>
  <c r="BP72" i="175"/>
  <c r="AV72" i="175" s="1"/>
  <c r="AS72" i="175"/>
  <c r="CL72" i="175" s="1"/>
  <c r="Y72" i="175"/>
  <c r="ED71" i="175"/>
  <c r="EB71" i="175"/>
  <c r="EB104" i="175" s="1"/>
  <c r="EA71" i="175"/>
  <c r="DZ71" i="175"/>
  <c r="DX71" i="175"/>
  <c r="DW71" i="175"/>
  <c r="DV71" i="175"/>
  <c r="DT71" i="175"/>
  <c r="DS71" i="175"/>
  <c r="DS104" i="175" s="1"/>
  <c r="DQ71" i="175"/>
  <c r="DN71" i="175"/>
  <c r="DH71" i="175"/>
  <c r="DC71" i="175"/>
  <c r="CT71" i="175"/>
  <c r="CL71" i="175"/>
  <c r="CI71" i="175"/>
  <c r="CH71" i="175"/>
  <c r="CF71" i="175"/>
  <c r="CE71" i="175"/>
  <c r="CD71" i="175"/>
  <c r="CC71" i="175"/>
  <c r="CB71" i="175"/>
  <c r="CA71" i="175"/>
  <c r="BY71" i="175"/>
  <c r="BV71" i="175"/>
  <c r="BT71" i="175"/>
  <c r="BS71" i="175"/>
  <c r="BP71" i="175"/>
  <c r="BK71" i="175"/>
  <c r="BB71" i="175"/>
  <c r="BX71" i="175" s="1"/>
  <c r="AS71" i="175"/>
  <c r="AN71" i="175"/>
  <c r="Y71" i="175"/>
  <c r="ED70" i="175"/>
  <c r="EB70" i="175"/>
  <c r="EA70" i="175"/>
  <c r="DZ70" i="175"/>
  <c r="DX70" i="175"/>
  <c r="DW70" i="175"/>
  <c r="DV70" i="175"/>
  <c r="DT70" i="175"/>
  <c r="DS70" i="175"/>
  <c r="DQ70" i="175"/>
  <c r="DN70" i="175"/>
  <c r="DC70" i="175"/>
  <c r="CT70" i="175"/>
  <c r="CN70" i="175"/>
  <c r="H70" i="175" s="1"/>
  <c r="CL70" i="175"/>
  <c r="CI70" i="175"/>
  <c r="CH70" i="175"/>
  <c r="CG70" i="175"/>
  <c r="CF70" i="175"/>
  <c r="CE70" i="175"/>
  <c r="CD70" i="175"/>
  <c r="CB70" i="175"/>
  <c r="BY70" i="175"/>
  <c r="BV70" i="175"/>
  <c r="BT70" i="175"/>
  <c r="BS70" i="175"/>
  <c r="BK70" i="175"/>
  <c r="BB70" i="175"/>
  <c r="AV70" i="175"/>
  <c r="AE70" i="175"/>
  <c r="ED69" i="175"/>
  <c r="EB69" i="175"/>
  <c r="EA69" i="175"/>
  <c r="DZ69" i="175"/>
  <c r="DY69" i="175"/>
  <c r="DX69" i="175"/>
  <c r="DW69" i="175"/>
  <c r="DV69" i="175"/>
  <c r="DT69" i="175"/>
  <c r="DS69" i="175"/>
  <c r="DQ69" i="175"/>
  <c r="DP69" i="175"/>
  <c r="DN69" i="175"/>
  <c r="CT69" i="175"/>
  <c r="CN69" i="175" s="1"/>
  <c r="CL69" i="175"/>
  <c r="CI69" i="175"/>
  <c r="CH69" i="175"/>
  <c r="CG69" i="175"/>
  <c r="CF69" i="175"/>
  <c r="CE69" i="175"/>
  <c r="CD69" i="175"/>
  <c r="CB69" i="175"/>
  <c r="BY69" i="175"/>
  <c r="BV69" i="175"/>
  <c r="BT69" i="175"/>
  <c r="BS69" i="175"/>
  <c r="BB69" i="175"/>
  <c r="AV69" i="175"/>
  <c r="AE69" i="175"/>
  <c r="EB68" i="175"/>
  <c r="EA68" i="175"/>
  <c r="DZ68" i="175"/>
  <c r="DY68" i="175"/>
  <c r="DX68" i="175"/>
  <c r="DW68" i="175"/>
  <c r="DV68" i="175"/>
  <c r="DT68" i="175"/>
  <c r="DS68" i="175"/>
  <c r="DQ68" i="175"/>
  <c r="DP68" i="175"/>
  <c r="DN68" i="175"/>
  <c r="DH68" i="175"/>
  <c r="CN68" i="175" s="1"/>
  <c r="CI68" i="175"/>
  <c r="CH68" i="175"/>
  <c r="CG68" i="175"/>
  <c r="CF68" i="175"/>
  <c r="CE68" i="175"/>
  <c r="CD68" i="175"/>
  <c r="CC68" i="175"/>
  <c r="CB68" i="175"/>
  <c r="CA68" i="175"/>
  <c r="BY68" i="175"/>
  <c r="BX68" i="175"/>
  <c r="BV68" i="175"/>
  <c r="BT68" i="175"/>
  <c r="BS68" i="175"/>
  <c r="BP68" i="175"/>
  <c r="AV68" i="175"/>
  <c r="AS68" i="175"/>
  <c r="Y68" i="175"/>
  <c r="EC67" i="175"/>
  <c r="DU67" i="175"/>
  <c r="DO67" i="175"/>
  <c r="DK67" i="175"/>
  <c r="DG67" i="175"/>
  <c r="DE67" i="175"/>
  <c r="CZ67" i="175"/>
  <c r="CY67" i="175"/>
  <c r="CX67" i="175"/>
  <c r="CS67" i="175"/>
  <c r="CO67" i="175"/>
  <c r="BW67" i="175"/>
  <c r="BO67" i="175"/>
  <c r="BM67" i="175"/>
  <c r="BH67" i="175"/>
  <c r="BG67" i="175"/>
  <c r="BF67" i="175"/>
  <c r="BE67" i="175"/>
  <c r="BA67" i="175"/>
  <c r="AW67" i="175"/>
  <c r="AR67" i="175"/>
  <c r="AQ67" i="175"/>
  <c r="AP67" i="175"/>
  <c r="AM67" i="175"/>
  <c r="AK67" i="175"/>
  <c r="AJ67" i="175"/>
  <c r="AI67" i="175"/>
  <c r="AH67" i="175"/>
  <c r="AG67" i="175"/>
  <c r="AD67" i="175"/>
  <c r="AB67" i="175"/>
  <c r="Z67" i="175"/>
  <c r="G67" i="175"/>
  <c r="EB66" i="175"/>
  <c r="EA66" i="175"/>
  <c r="DZ66" i="175"/>
  <c r="DY66" i="175"/>
  <c r="DX66" i="175"/>
  <c r="DW66" i="175"/>
  <c r="DV66" i="175"/>
  <c r="DT66" i="175"/>
  <c r="DS66" i="175"/>
  <c r="DQ66" i="175"/>
  <c r="DP66" i="175"/>
  <c r="DN66" i="175"/>
  <c r="DL66" i="175"/>
  <c r="DH66" i="175"/>
  <c r="CN66" i="175"/>
  <c r="CK66" i="175"/>
  <c r="CJ66" i="175"/>
  <c r="CI66" i="175"/>
  <c r="CH66" i="175"/>
  <c r="CG66" i="175"/>
  <c r="CF66" i="175"/>
  <c r="CE66" i="175"/>
  <c r="CD66" i="175"/>
  <c r="CC66" i="175"/>
  <c r="CB66" i="175"/>
  <c r="CA66" i="175"/>
  <c r="BY66" i="175"/>
  <c r="BX66" i="175"/>
  <c r="BV66" i="175"/>
  <c r="BU66" i="175"/>
  <c r="BS66" i="175"/>
  <c r="AV66" i="175"/>
  <c r="AS66" i="175"/>
  <c r="AS67" i="175" s="1"/>
  <c r="ED65" i="175"/>
  <c r="EB65" i="175"/>
  <c r="EA65" i="175"/>
  <c r="DY65" i="175"/>
  <c r="DW65" i="175"/>
  <c r="DV65" i="175"/>
  <c r="DT65" i="175"/>
  <c r="DS65" i="175"/>
  <c r="DQ65" i="175"/>
  <c r="DP65" i="175"/>
  <c r="DN65" i="175"/>
  <c r="DC65" i="175"/>
  <c r="DB65" i="175"/>
  <c r="DX65" i="175" s="1"/>
  <c r="CN65" i="175"/>
  <c r="CL65" i="175"/>
  <c r="CI65" i="175"/>
  <c r="CH65" i="175"/>
  <c r="CG65" i="175"/>
  <c r="CE65" i="175"/>
  <c r="CD65" i="175"/>
  <c r="CB65" i="175"/>
  <c r="BY65" i="175"/>
  <c r="BX65" i="175"/>
  <c r="BV65" i="175"/>
  <c r="BU65" i="175"/>
  <c r="BS65" i="175"/>
  <c r="BK65" i="175"/>
  <c r="BJ65" i="175"/>
  <c r="CF65" i="175" s="1"/>
  <c r="AO65" i="175"/>
  <c r="H65" i="175"/>
  <c r="EB64" i="175"/>
  <c r="EA64" i="175"/>
  <c r="DX64" i="175"/>
  <c r="DW64" i="175"/>
  <c r="DV64" i="175"/>
  <c r="DT64" i="175"/>
  <c r="DS64" i="175"/>
  <c r="DQ64" i="175"/>
  <c r="DP64" i="175"/>
  <c r="DN64" i="175"/>
  <c r="DD64" i="175"/>
  <c r="DZ64" i="175" s="1"/>
  <c r="DC64" i="175"/>
  <c r="CI64" i="175"/>
  <c r="CF64" i="175"/>
  <c r="CE64" i="175"/>
  <c r="CD64" i="175"/>
  <c r="CB64" i="175"/>
  <c r="BY64" i="175"/>
  <c r="BX64" i="175"/>
  <c r="BV64" i="175"/>
  <c r="BU64" i="175"/>
  <c r="BS64" i="175"/>
  <c r="BP64" i="175"/>
  <c r="BL64" i="175"/>
  <c r="BK64" i="175"/>
  <c r="AS64" i="175"/>
  <c r="AO64" i="175"/>
  <c r="ED63" i="175"/>
  <c r="EB63" i="175"/>
  <c r="EA63" i="175"/>
  <c r="DY63" i="175"/>
  <c r="DX63" i="175"/>
  <c r="DW63" i="175"/>
  <c r="DV63" i="175"/>
  <c r="DT63" i="175"/>
  <c r="DS63" i="175"/>
  <c r="DQ63" i="175"/>
  <c r="DP63" i="175"/>
  <c r="DN63" i="175"/>
  <c r="DD63" i="175"/>
  <c r="DZ63" i="175" s="1"/>
  <c r="CN63" i="175"/>
  <c r="H63" i="175" s="1"/>
  <c r="CL63" i="175"/>
  <c r="CI63" i="175"/>
  <c r="CG63" i="175"/>
  <c r="CF63" i="175"/>
  <c r="CE63" i="175"/>
  <c r="CD63" i="175"/>
  <c r="CB63" i="175"/>
  <c r="BY63" i="175"/>
  <c r="BX63" i="175"/>
  <c r="BV63" i="175"/>
  <c r="BU63" i="175"/>
  <c r="BS63" i="175"/>
  <c r="BL63" i="175"/>
  <c r="CH63" i="175" s="1"/>
  <c r="Y63" i="175"/>
  <c r="ED62" i="175"/>
  <c r="EB62" i="175"/>
  <c r="EA62" i="175"/>
  <c r="DX62" i="175"/>
  <c r="DW62" i="175"/>
  <c r="DV62" i="175"/>
  <c r="DT62" i="175"/>
  <c r="DS62" i="175"/>
  <c r="DQ62" i="175"/>
  <c r="DP62" i="175"/>
  <c r="DN62" i="175"/>
  <c r="DD62" i="175"/>
  <c r="DZ62" i="175" s="1"/>
  <c r="DC62" i="175"/>
  <c r="CL62" i="175"/>
  <c r="CI62" i="175"/>
  <c r="CF62" i="175"/>
  <c r="CE62" i="175"/>
  <c r="CD62" i="175"/>
  <c r="CB62" i="175"/>
  <c r="BY62" i="175"/>
  <c r="BX62" i="175"/>
  <c r="BV62" i="175"/>
  <c r="BU62" i="175"/>
  <c r="BS62" i="175"/>
  <c r="BL62" i="175"/>
  <c r="CH62" i="175" s="1"/>
  <c r="BK62" i="175"/>
  <c r="CG62" i="175" s="1"/>
  <c r="AO62" i="175"/>
  <c r="Y62" i="175"/>
  <c r="EB61" i="175"/>
  <c r="EA61" i="175"/>
  <c r="DZ61" i="175"/>
  <c r="DY61" i="175"/>
  <c r="DX61" i="175"/>
  <c r="DW61" i="175"/>
  <c r="DV61" i="175"/>
  <c r="DT61" i="175"/>
  <c r="DS61" i="175"/>
  <c r="DQ61" i="175"/>
  <c r="DP61" i="175"/>
  <c r="DN61" i="175"/>
  <c r="CN61" i="175"/>
  <c r="H61" i="175" s="1"/>
  <c r="CI61" i="175"/>
  <c r="CH61" i="175"/>
  <c r="CG61" i="175"/>
  <c r="CF61" i="175"/>
  <c r="CE61" i="175"/>
  <c r="CD61" i="175"/>
  <c r="CB61" i="175"/>
  <c r="BY61" i="175"/>
  <c r="BX61" i="175"/>
  <c r="BV61" i="175"/>
  <c r="BU61" i="175"/>
  <c r="BS61" i="175"/>
  <c r="BP61" i="175"/>
  <c r="AV61" i="175"/>
  <c r="AS61" i="175"/>
  <c r="ED60" i="175"/>
  <c r="EB60" i="175"/>
  <c r="EA60" i="175"/>
  <c r="DZ60" i="175"/>
  <c r="DY60" i="175"/>
  <c r="DX60" i="175"/>
  <c r="DW60" i="175"/>
  <c r="DV60" i="175"/>
  <c r="DT60" i="175"/>
  <c r="DS60" i="175"/>
  <c r="DQ60" i="175"/>
  <c r="DP60" i="175"/>
  <c r="DN60" i="175"/>
  <c r="DM60" i="175"/>
  <c r="DL60" i="175"/>
  <c r="DJ60" i="175" s="1"/>
  <c r="CT60" i="175"/>
  <c r="CR60" i="175"/>
  <c r="CN60" i="175" s="1"/>
  <c r="CL60" i="175"/>
  <c r="CI60" i="175"/>
  <c r="CH60" i="175"/>
  <c r="CG60" i="175"/>
  <c r="CF60" i="175"/>
  <c r="CE60" i="175"/>
  <c r="CD60" i="175"/>
  <c r="CB60" i="175"/>
  <c r="BY60" i="175"/>
  <c r="BV60" i="175"/>
  <c r="BU60" i="175"/>
  <c r="BS60" i="175"/>
  <c r="BB60" i="175"/>
  <c r="BX60" i="175" s="1"/>
  <c r="AZ60" i="175"/>
  <c r="AE60" i="175"/>
  <c r="AC60" i="175"/>
  <c r="AA60" i="175"/>
  <c r="BT60" i="175" s="1"/>
  <c r="Y60" i="175"/>
  <c r="ED59" i="175"/>
  <c r="DJ59" i="175" s="1"/>
  <c r="CN59" i="175"/>
  <c r="BU59" i="175"/>
  <c r="BP59" i="175"/>
  <c r="AV59" i="175" s="1"/>
  <c r="AS59" i="175"/>
  <c r="Y59" i="175" s="1"/>
  <c r="H59" i="175"/>
  <c r="EB58" i="175"/>
  <c r="EA58" i="175"/>
  <c r="DZ58" i="175"/>
  <c r="DY58" i="175"/>
  <c r="DX58" i="175"/>
  <c r="DW58" i="175"/>
  <c r="DV58" i="175"/>
  <c r="DT58" i="175"/>
  <c r="DS58" i="175"/>
  <c r="DQ58" i="175"/>
  <c r="CR58" i="175"/>
  <c r="CI58" i="175"/>
  <c r="CH58" i="175"/>
  <c r="CG58" i="175"/>
  <c r="CF58" i="175"/>
  <c r="CE58" i="175"/>
  <c r="CD58" i="175"/>
  <c r="CB58" i="175"/>
  <c r="BY58" i="175"/>
  <c r="BU58" i="175"/>
  <c r="BS58" i="175"/>
  <c r="AZ58" i="175"/>
  <c r="AS58" i="175"/>
  <c r="CL58" i="175" s="1"/>
  <c r="AE58" i="175"/>
  <c r="DP58" i="175" s="1"/>
  <c r="AC58" i="175"/>
  <c r="ED57" i="175"/>
  <c r="EB57" i="175"/>
  <c r="EA57" i="175"/>
  <c r="DZ57" i="175"/>
  <c r="DY57" i="175"/>
  <c r="DX57" i="175"/>
  <c r="DW57" i="175"/>
  <c r="DV57" i="175"/>
  <c r="DT57" i="175"/>
  <c r="DS57" i="175"/>
  <c r="DQ57" i="175"/>
  <c r="DN57" i="175"/>
  <c r="CT57" i="175"/>
  <c r="CL57" i="175"/>
  <c r="CI57" i="175"/>
  <c r="CH57" i="175"/>
  <c r="CG57" i="175"/>
  <c r="CF57" i="175"/>
  <c r="CE57" i="175"/>
  <c r="CD57" i="175"/>
  <c r="CB57" i="175"/>
  <c r="BY57" i="175"/>
  <c r="BV57" i="175"/>
  <c r="BU57" i="175"/>
  <c r="BS57" i="175"/>
  <c r="BB57" i="175"/>
  <c r="Y57" i="175"/>
  <c r="ED56" i="175"/>
  <c r="EB56" i="175"/>
  <c r="EA56" i="175"/>
  <c r="DZ56" i="175"/>
  <c r="DY56" i="175"/>
  <c r="DX56" i="175"/>
  <c r="DW56" i="175"/>
  <c r="DV56" i="175"/>
  <c r="DT56" i="175"/>
  <c r="DS56" i="175"/>
  <c r="DQ56" i="175"/>
  <c r="DN56" i="175"/>
  <c r="CT56" i="175"/>
  <c r="CN56" i="175" s="1"/>
  <c r="CL56" i="175"/>
  <c r="CK56" i="175"/>
  <c r="CK67" i="175" s="1"/>
  <c r="CJ56" i="175"/>
  <c r="CI56" i="175"/>
  <c r="CH56" i="175"/>
  <c r="CG56" i="175"/>
  <c r="CF56" i="175"/>
  <c r="CE56" i="175"/>
  <c r="CD56" i="175"/>
  <c r="CC56" i="175"/>
  <c r="CB56" i="175"/>
  <c r="CA56" i="175"/>
  <c r="BY56" i="175"/>
  <c r="BV56" i="175"/>
  <c r="BU56" i="175"/>
  <c r="BT56" i="175"/>
  <c r="BS56" i="175"/>
  <c r="BB56" i="175"/>
  <c r="Y56" i="175"/>
  <c r="ED55" i="175"/>
  <c r="EB55" i="175"/>
  <c r="EA55" i="175"/>
  <c r="DZ55" i="175"/>
  <c r="DY55" i="175"/>
  <c r="DX55" i="175"/>
  <c r="DV55" i="175"/>
  <c r="DT55" i="175"/>
  <c r="DS55" i="175"/>
  <c r="DQ55" i="175"/>
  <c r="DP55" i="175"/>
  <c r="DN55" i="175"/>
  <c r="DA55" i="175"/>
  <c r="CN55" i="175" s="1"/>
  <c r="CL55" i="175"/>
  <c r="CI55" i="175"/>
  <c r="CH55" i="175"/>
  <c r="CF55" i="175"/>
  <c r="CD55" i="175"/>
  <c r="CB55" i="175"/>
  <c r="BY55" i="175"/>
  <c r="BX55" i="175"/>
  <c r="BV55" i="175"/>
  <c r="BU55" i="175"/>
  <c r="BT55" i="175"/>
  <c r="BS55" i="175"/>
  <c r="BI55" i="175"/>
  <c r="BI202" i="175" s="1"/>
  <c r="AL55" i="175"/>
  <c r="ED54" i="175"/>
  <c r="EB54" i="175"/>
  <c r="EA54" i="175"/>
  <c r="DY54" i="175"/>
  <c r="DX54" i="175"/>
  <c r="DW54" i="175"/>
  <c r="DV54" i="175"/>
  <c r="DT54" i="175"/>
  <c r="DS54" i="175"/>
  <c r="DQ54" i="175"/>
  <c r="DN54" i="175"/>
  <c r="DM54" i="175"/>
  <c r="DD54" i="175"/>
  <c r="DZ54" i="175" s="1"/>
  <c r="CT54" i="175"/>
  <c r="CP54" i="175"/>
  <c r="CL54" i="175"/>
  <c r="CK54" i="175"/>
  <c r="CJ54" i="175"/>
  <c r="CI54" i="175"/>
  <c r="CH54" i="175"/>
  <c r="CG54" i="175"/>
  <c r="CF54" i="175"/>
  <c r="CE54" i="175"/>
  <c r="CD54" i="175"/>
  <c r="CC54" i="175"/>
  <c r="CB54" i="175"/>
  <c r="CA54" i="175"/>
  <c r="BY54" i="175"/>
  <c r="BV54" i="175"/>
  <c r="BU54" i="175"/>
  <c r="BS54" i="175"/>
  <c r="BL54" i="175"/>
  <c r="BB54" i="175"/>
  <c r="BX54" i="175" s="1"/>
  <c r="AX54" i="175"/>
  <c r="BT54" i="175" s="1"/>
  <c r="AA54" i="175"/>
  <c r="Y54" i="175"/>
  <c r="EB53" i="175"/>
  <c r="EA53" i="175"/>
  <c r="DZ53" i="175"/>
  <c r="DY53" i="175"/>
  <c r="DX53" i="175"/>
  <c r="DW53" i="175"/>
  <c r="DV53" i="175"/>
  <c r="DT53" i="175"/>
  <c r="DS53" i="175"/>
  <c r="DQ53" i="175"/>
  <c r="DP53" i="175"/>
  <c r="DN53" i="175"/>
  <c r="DH53" i="175"/>
  <c r="CK53" i="175"/>
  <c r="CJ53" i="175"/>
  <c r="CI53" i="175"/>
  <c r="CH53" i="175"/>
  <c r="CG53" i="175"/>
  <c r="CF53" i="175"/>
  <c r="CE53" i="175"/>
  <c r="CD53" i="175"/>
  <c r="CC53" i="175"/>
  <c r="CB53" i="175"/>
  <c r="CA53" i="175"/>
  <c r="BY53" i="175"/>
  <c r="BX53" i="175"/>
  <c r="BV53" i="175"/>
  <c r="BU53" i="175"/>
  <c r="BT53" i="175"/>
  <c r="BS53" i="175"/>
  <c r="BP53" i="175"/>
  <c r="AV53" i="175"/>
  <c r="AS53" i="175"/>
  <c r="ED52" i="175"/>
  <c r="EB52" i="175"/>
  <c r="EA52" i="175"/>
  <c r="DZ52" i="175"/>
  <c r="DY52" i="175"/>
  <c r="DX52" i="175"/>
  <c r="DV52" i="175"/>
  <c r="DT52" i="175"/>
  <c r="DS52" i="175"/>
  <c r="DQ52" i="175"/>
  <c r="DP52" i="175"/>
  <c r="DN52" i="175"/>
  <c r="DA52" i="175"/>
  <c r="CN52" i="175"/>
  <c r="CL52" i="175"/>
  <c r="CI52" i="175"/>
  <c r="CH52" i="175"/>
  <c r="CG52" i="175"/>
  <c r="CF52" i="175"/>
  <c r="CE52" i="175"/>
  <c r="CD52" i="175"/>
  <c r="CC52" i="175"/>
  <c r="CB52" i="175"/>
  <c r="CA52" i="175"/>
  <c r="BY52" i="175"/>
  <c r="BX52" i="175"/>
  <c r="BV52" i="175"/>
  <c r="BR52" i="175" s="1"/>
  <c r="BU52" i="175"/>
  <c r="BT52" i="175"/>
  <c r="BS52" i="175"/>
  <c r="AV52" i="175"/>
  <c r="Y52" i="175"/>
  <c r="ED51" i="175"/>
  <c r="EB51" i="175"/>
  <c r="EA51" i="175"/>
  <c r="DZ51" i="175"/>
  <c r="DY51" i="175"/>
  <c r="DX51" i="175"/>
  <c r="DW51" i="175"/>
  <c r="DV51" i="175"/>
  <c r="DT51" i="175"/>
  <c r="DS51" i="175"/>
  <c r="DQ51" i="175"/>
  <c r="DJ51" i="175" s="1"/>
  <c r="DP51" i="175"/>
  <c r="DN51" i="175"/>
  <c r="DI51" i="175"/>
  <c r="CN51" i="175"/>
  <c r="CM51" i="175" s="1"/>
  <c r="CI51" i="175"/>
  <c r="CH51" i="175"/>
  <c r="CG51" i="175"/>
  <c r="CF51" i="175"/>
  <c r="CE51" i="175"/>
  <c r="CD51" i="175"/>
  <c r="CB51" i="175"/>
  <c r="BY51" i="175"/>
  <c r="BX51" i="175"/>
  <c r="BV51" i="175"/>
  <c r="BU51" i="175"/>
  <c r="BT51" i="175"/>
  <c r="BS51" i="175"/>
  <c r="BP51" i="175"/>
  <c r="CL51" i="175" s="1"/>
  <c r="AV51" i="175"/>
  <c r="AU51" i="175" s="1"/>
  <c r="BQ51" i="175" s="1"/>
  <c r="AS51" i="175"/>
  <c r="Y51" i="175"/>
  <c r="I51" i="175"/>
  <c r="H51" i="175"/>
  <c r="EB50" i="175"/>
  <c r="EA50" i="175"/>
  <c r="DZ50" i="175"/>
  <c r="DX50" i="175"/>
  <c r="DW50" i="175"/>
  <c r="DV50" i="175"/>
  <c r="DT50" i="175"/>
  <c r="DS50" i="175"/>
  <c r="DQ50" i="175"/>
  <c r="DP50" i="175"/>
  <c r="DN50" i="175"/>
  <c r="DC50" i="175"/>
  <c r="DH50" i="175" s="1"/>
  <c r="CI50" i="175"/>
  <c r="CH50" i="175"/>
  <c r="CG50" i="175"/>
  <c r="CF50" i="175"/>
  <c r="CE50" i="175"/>
  <c r="CD50" i="175"/>
  <c r="CB50" i="175"/>
  <c r="BY50" i="175"/>
  <c r="BX50" i="175"/>
  <c r="BV50" i="175"/>
  <c r="BU50" i="175"/>
  <c r="BT50" i="175"/>
  <c r="BS50" i="175"/>
  <c r="BP50" i="175"/>
  <c r="AV50" i="175" s="1"/>
  <c r="AS50" i="175"/>
  <c r="AN50" i="175"/>
  <c r="ED49" i="175"/>
  <c r="EB49" i="175"/>
  <c r="EA49" i="175"/>
  <c r="DZ49" i="175"/>
  <c r="DY49" i="175"/>
  <c r="DX49" i="175"/>
  <c r="DW49" i="175"/>
  <c r="DV49" i="175"/>
  <c r="DT49" i="175"/>
  <c r="DS49" i="175"/>
  <c r="DQ49" i="175"/>
  <c r="DP49" i="175"/>
  <c r="DN49" i="175"/>
  <c r="CQ49" i="175"/>
  <c r="DM49" i="175" s="1"/>
  <c r="CP49" i="175"/>
  <c r="DL49" i="175" s="1"/>
  <c r="CN49" i="175"/>
  <c r="CL49" i="175"/>
  <c r="CI49" i="175"/>
  <c r="CH49" i="175"/>
  <c r="CG49" i="175"/>
  <c r="CF49" i="175"/>
  <c r="CE49" i="175"/>
  <c r="CD49" i="175"/>
  <c r="CB49" i="175"/>
  <c r="BY49" i="175"/>
  <c r="BX49" i="175"/>
  <c r="BV49" i="175"/>
  <c r="BS49" i="175"/>
  <c r="BL49" i="175"/>
  <c r="AY49" i="175"/>
  <c r="AA49" i="175"/>
  <c r="BT49" i="175" s="1"/>
  <c r="Y49" i="175"/>
  <c r="H49" i="175"/>
  <c r="ED48" i="175"/>
  <c r="EB48" i="175"/>
  <c r="EA48" i="175"/>
  <c r="DW48" i="175"/>
  <c r="DV48" i="175"/>
  <c r="DT48" i="175"/>
  <c r="DS48" i="175"/>
  <c r="DN48" i="175"/>
  <c r="DM48" i="175"/>
  <c r="DD48" i="175"/>
  <c r="DZ48" i="175" s="1"/>
  <c r="DC48" i="175"/>
  <c r="DB48" i="175"/>
  <c r="DX48" i="175" s="1"/>
  <c r="CW48" i="175"/>
  <c r="CW202" i="175" s="1"/>
  <c r="CV48" i="175"/>
  <c r="CU48" i="175"/>
  <c r="CT48" i="175"/>
  <c r="CP48" i="175"/>
  <c r="CL48" i="175"/>
  <c r="CI48" i="175"/>
  <c r="CE48" i="175"/>
  <c r="CD48" i="175"/>
  <c r="CC48" i="175"/>
  <c r="CB48" i="175"/>
  <c r="BY48" i="175"/>
  <c r="BV48" i="175"/>
  <c r="BU48" i="175"/>
  <c r="BS48" i="175"/>
  <c r="BL48" i="175"/>
  <c r="CH48" i="175" s="1"/>
  <c r="BK48" i="175"/>
  <c r="BJ48" i="175"/>
  <c r="BE48" i="175"/>
  <c r="BE202" i="175" s="1"/>
  <c r="BD48" i="175"/>
  <c r="BD202" i="175" s="1"/>
  <c r="BC48" i="175"/>
  <c r="BB48" i="175"/>
  <c r="AX48" i="175"/>
  <c r="AO48" i="175"/>
  <c r="AN48" i="175"/>
  <c r="DY48" i="175" s="1"/>
  <c r="AM48" i="175"/>
  <c r="AF48" i="175"/>
  <c r="AE48" i="175"/>
  <c r="AA48" i="175"/>
  <c r="ED47" i="175"/>
  <c r="EB47" i="175"/>
  <c r="EA47" i="175"/>
  <c r="DZ47" i="175"/>
  <c r="DY47" i="175"/>
  <c r="DW47" i="175"/>
  <c r="DV47" i="175"/>
  <c r="DT47" i="175"/>
  <c r="DT67" i="175" s="1"/>
  <c r="DS47" i="175"/>
  <c r="DQ47" i="175"/>
  <c r="DP47" i="175"/>
  <c r="DN47" i="175"/>
  <c r="DL47" i="175"/>
  <c r="DB47" i="175"/>
  <c r="CQ47" i="175"/>
  <c r="CN47" i="175" s="1"/>
  <c r="H47" i="175" s="1"/>
  <c r="CL47" i="175"/>
  <c r="CI47" i="175"/>
  <c r="CH47" i="175"/>
  <c r="CG47" i="175"/>
  <c r="CE47" i="175"/>
  <c r="CD47" i="175"/>
  <c r="CC47" i="175"/>
  <c r="CB47" i="175"/>
  <c r="CA47" i="175"/>
  <c r="BY47" i="175"/>
  <c r="BX47" i="175"/>
  <c r="BV47" i="175"/>
  <c r="BS47" i="175"/>
  <c r="BJ47" i="175"/>
  <c r="AY47" i="175"/>
  <c r="AM47" i="175"/>
  <c r="AM202" i="175" s="1"/>
  <c r="AA47" i="175"/>
  <c r="BT47" i="175" s="1"/>
  <c r="Y47" i="175"/>
  <c r="EB46" i="175"/>
  <c r="EA46" i="175"/>
  <c r="DZ46" i="175"/>
  <c r="DY46" i="175"/>
  <c r="DX46" i="175"/>
  <c r="DW46" i="175"/>
  <c r="DV46" i="175"/>
  <c r="DT46" i="175"/>
  <c r="DS46" i="175"/>
  <c r="DQ46" i="175"/>
  <c r="DP46" i="175"/>
  <c r="DN46" i="175"/>
  <c r="DH46" i="175"/>
  <c r="CI46" i="175"/>
  <c r="CH46" i="175"/>
  <c r="CG46" i="175"/>
  <c r="CF46" i="175"/>
  <c r="CE46" i="175"/>
  <c r="CD46" i="175"/>
  <c r="CC46" i="175"/>
  <c r="CB46" i="175"/>
  <c r="CA46" i="175"/>
  <c r="BY46" i="175"/>
  <c r="BX46" i="175"/>
  <c r="BV46" i="175"/>
  <c r="BU46" i="175"/>
  <c r="BS46" i="175"/>
  <c r="BP46" i="175"/>
  <c r="AV46" i="175" s="1"/>
  <c r="AU46" i="175" s="1"/>
  <c r="BQ46" i="175" s="1"/>
  <c r="AS46" i="175"/>
  <c r="Y46" i="175"/>
  <c r="ED45" i="175"/>
  <c r="EB45" i="175"/>
  <c r="EA45" i="175"/>
  <c r="DZ45" i="175"/>
  <c r="DY45" i="175"/>
  <c r="DX45" i="175"/>
  <c r="DW45" i="175"/>
  <c r="DV45" i="175"/>
  <c r="DT45" i="175"/>
  <c r="DS45" i="175"/>
  <c r="DP45" i="175"/>
  <c r="DN45" i="175"/>
  <c r="DM45" i="175"/>
  <c r="DD45" i="175"/>
  <c r="CU45" i="175"/>
  <c r="CP45" i="175"/>
  <c r="CL45" i="175"/>
  <c r="CI45" i="175"/>
  <c r="CG45" i="175"/>
  <c r="CF45" i="175"/>
  <c r="CE45" i="175"/>
  <c r="CD45" i="175"/>
  <c r="CC45" i="175"/>
  <c r="CB45" i="175"/>
  <c r="CA45" i="175"/>
  <c r="BX45" i="175"/>
  <c r="BV45" i="175"/>
  <c r="BU45" i="175"/>
  <c r="BS45" i="175"/>
  <c r="BL45" i="175"/>
  <c r="CH45" i="175" s="1"/>
  <c r="BC45" i="175"/>
  <c r="AX45" i="175"/>
  <c r="AV45" i="175"/>
  <c r="AF45" i="175"/>
  <c r="AA45" i="175"/>
  <c r="Y45" i="175"/>
  <c r="ED44" i="175"/>
  <c r="EB44" i="175"/>
  <c r="EA44" i="175"/>
  <c r="DY44" i="175"/>
  <c r="DX44" i="175"/>
  <c r="DW44" i="175"/>
  <c r="DV44" i="175"/>
  <c r="DT44" i="175"/>
  <c r="DS44" i="175"/>
  <c r="DP44" i="175"/>
  <c r="DN44" i="175"/>
  <c r="DM44" i="175"/>
  <c r="DD44" i="175"/>
  <c r="DZ44" i="175" s="1"/>
  <c r="CU44" i="175"/>
  <c r="CP44" i="175"/>
  <c r="CL44" i="175"/>
  <c r="CI44" i="175"/>
  <c r="CG44" i="175"/>
  <c r="CF44" i="175"/>
  <c r="CE44" i="175"/>
  <c r="CD44" i="175"/>
  <c r="CC44" i="175"/>
  <c r="CB44" i="175"/>
  <c r="CA44" i="175"/>
  <c r="BX44" i="175"/>
  <c r="BV44" i="175"/>
  <c r="BU44" i="175"/>
  <c r="BT44" i="175"/>
  <c r="BS44" i="175"/>
  <c r="BL44" i="175"/>
  <c r="CH44" i="175" s="1"/>
  <c r="BC44" i="175"/>
  <c r="AV44" i="175" s="1"/>
  <c r="AX44" i="175"/>
  <c r="AF44" i="175"/>
  <c r="AA44" i="175"/>
  <c r="ED43" i="175"/>
  <c r="EB43" i="175"/>
  <c r="EA43" i="175"/>
  <c r="DZ43" i="175"/>
  <c r="DY43" i="175"/>
  <c r="DX43" i="175"/>
  <c r="DW43" i="175"/>
  <c r="DV43" i="175"/>
  <c r="DT43" i="175"/>
  <c r="DS43" i="175"/>
  <c r="DQ43" i="175"/>
  <c r="CT43" i="175"/>
  <c r="CN43" i="175" s="1"/>
  <c r="CL43" i="175"/>
  <c r="CI43" i="175"/>
  <c r="CH43" i="175"/>
  <c r="CG43" i="175"/>
  <c r="CF43" i="175"/>
  <c r="CE43" i="175"/>
  <c r="CD43" i="175"/>
  <c r="BY43" i="175"/>
  <c r="BV43" i="175"/>
  <c r="BU43" i="175"/>
  <c r="BS43" i="175"/>
  <c r="BB43" i="175"/>
  <c r="AV43" i="175" s="1"/>
  <c r="AE43" i="175"/>
  <c r="Y43" i="175"/>
  <c r="ED42" i="175"/>
  <c r="EB42" i="175"/>
  <c r="EA42" i="175"/>
  <c r="DZ42" i="175"/>
  <c r="DY42" i="175"/>
  <c r="DX42" i="175"/>
  <c r="DW42" i="175"/>
  <c r="DV42" i="175"/>
  <c r="DT42" i="175"/>
  <c r="DS42" i="175"/>
  <c r="DQ42" i="175"/>
  <c r="CT42" i="175"/>
  <c r="CN42" i="175"/>
  <c r="CM42" i="175" s="1"/>
  <c r="DI42" i="175" s="1"/>
  <c r="CL42" i="175"/>
  <c r="CI42" i="175"/>
  <c r="CH42" i="175"/>
  <c r="CG42" i="175"/>
  <c r="CF42" i="175"/>
  <c r="CE42" i="175"/>
  <c r="CD42" i="175"/>
  <c r="CC42" i="175"/>
  <c r="CB42" i="175"/>
  <c r="CA42" i="175"/>
  <c r="BY42" i="175"/>
  <c r="BV42" i="175"/>
  <c r="BU42" i="175"/>
  <c r="BS42" i="175"/>
  <c r="BB42" i="175"/>
  <c r="AV42" i="175"/>
  <c r="AU42" i="175" s="1"/>
  <c r="BQ42" i="175" s="1"/>
  <c r="AE42" i="175"/>
  <c r="Y42" i="175" s="1"/>
  <c r="ED41" i="175"/>
  <c r="EB41" i="175"/>
  <c r="EA41" i="175"/>
  <c r="DZ41" i="175"/>
  <c r="DY41" i="175"/>
  <c r="DX41" i="175"/>
  <c r="DW41" i="175"/>
  <c r="DV41" i="175"/>
  <c r="DT41" i="175"/>
  <c r="DS41" i="175"/>
  <c r="DQ41" i="175"/>
  <c r="CT41" i="175"/>
  <c r="CN41" i="175" s="1"/>
  <c r="CM41" i="175" s="1"/>
  <c r="DI41" i="175" s="1"/>
  <c r="CL41" i="175"/>
  <c r="CI41" i="175"/>
  <c r="CH41" i="175"/>
  <c r="CG41" i="175"/>
  <c r="CF41" i="175"/>
  <c r="CE41" i="175"/>
  <c r="CD41" i="175"/>
  <c r="CC41" i="175"/>
  <c r="CB41" i="175"/>
  <c r="CA41" i="175"/>
  <c r="BY41" i="175"/>
  <c r="BV41" i="175"/>
  <c r="BU41" i="175"/>
  <c r="BS41" i="175"/>
  <c r="BB41" i="175"/>
  <c r="AV41" i="175" s="1"/>
  <c r="AU41" i="175" s="1"/>
  <c r="BQ41" i="175" s="1"/>
  <c r="AE41" i="175"/>
  <c r="Y41" i="175"/>
  <c r="ED40" i="175"/>
  <c r="EB40" i="175"/>
  <c r="EA40" i="175"/>
  <c r="DZ40" i="175"/>
  <c r="DY40" i="175"/>
  <c r="DX40" i="175"/>
  <c r="DW40" i="175"/>
  <c r="DV40" i="175"/>
  <c r="DT40" i="175"/>
  <c r="DS40" i="175"/>
  <c r="DQ40" i="175"/>
  <c r="CT40" i="175"/>
  <c r="DP40" i="175" s="1"/>
  <c r="CL40" i="175"/>
  <c r="CI40" i="175"/>
  <c r="CH40" i="175"/>
  <c r="CG40" i="175"/>
  <c r="CF40" i="175"/>
  <c r="CE40" i="175"/>
  <c r="CD40" i="175"/>
  <c r="CC40" i="175"/>
  <c r="CB40" i="175"/>
  <c r="CA40" i="175"/>
  <c r="BY40" i="175"/>
  <c r="BV40" i="175"/>
  <c r="BU40" i="175"/>
  <c r="BS40" i="175"/>
  <c r="BB40" i="175"/>
  <c r="BX40" i="175" s="1"/>
  <c r="Y40" i="175"/>
  <c r="ED39" i="175"/>
  <c r="EA39" i="175"/>
  <c r="DZ39" i="175"/>
  <c r="DX39" i="175"/>
  <c r="DW39" i="175"/>
  <c r="DV39" i="175"/>
  <c r="DT39" i="175"/>
  <c r="DS39" i="175"/>
  <c r="DQ39" i="175"/>
  <c r="DF39" i="175"/>
  <c r="DF202" i="175" s="1"/>
  <c r="DC39" i="175"/>
  <c r="CT39" i="175"/>
  <c r="DP39" i="175" s="1"/>
  <c r="CN39" i="175"/>
  <c r="H39" i="175" s="1"/>
  <c r="CL39" i="175"/>
  <c r="CI39" i="175"/>
  <c r="CH39" i="175"/>
  <c r="CF39" i="175"/>
  <c r="CE39" i="175"/>
  <c r="CD39" i="175"/>
  <c r="CC39" i="175"/>
  <c r="CB39" i="175"/>
  <c r="CA39" i="175"/>
  <c r="BY39" i="175"/>
  <c r="BV39" i="175"/>
  <c r="BU39" i="175"/>
  <c r="BS39" i="175"/>
  <c r="BN39" i="175"/>
  <c r="BK39" i="175"/>
  <c r="AV39" i="175" s="1"/>
  <c r="BB39" i="175"/>
  <c r="BX39" i="175" s="1"/>
  <c r="AN39" i="175"/>
  <c r="Y39" i="175" s="1"/>
  <c r="ED38" i="175"/>
  <c r="EB38" i="175"/>
  <c r="EA38" i="175"/>
  <c r="DZ38" i="175"/>
  <c r="DY38" i="175"/>
  <c r="DX38" i="175"/>
  <c r="DW38" i="175"/>
  <c r="DV38" i="175"/>
  <c r="DT38" i="175"/>
  <c r="DS38" i="175"/>
  <c r="DQ38" i="175"/>
  <c r="DJ38" i="175" s="1"/>
  <c r="CN38" i="175"/>
  <c r="CL38" i="175"/>
  <c r="CI38" i="175"/>
  <c r="CH38" i="175"/>
  <c r="CG38" i="175"/>
  <c r="CF38" i="175"/>
  <c r="CE38" i="175"/>
  <c r="CD38" i="175"/>
  <c r="CC38" i="175"/>
  <c r="CB38" i="175"/>
  <c r="CA38" i="175"/>
  <c r="BY38" i="175"/>
  <c r="BV38" i="175"/>
  <c r="BU38" i="175"/>
  <c r="BS38" i="175"/>
  <c r="AV38" i="175"/>
  <c r="AE38" i="175"/>
  <c r="DP38" i="175" s="1"/>
  <c r="Y38" i="175"/>
  <c r="I38" i="175"/>
  <c r="H38" i="175"/>
  <c r="ED37" i="175"/>
  <c r="EB37" i="175"/>
  <c r="EA37" i="175"/>
  <c r="DY37" i="175"/>
  <c r="DX37" i="175"/>
  <c r="DW37" i="175"/>
  <c r="DV37" i="175"/>
  <c r="DT37" i="175"/>
  <c r="DS37" i="175"/>
  <c r="DQ37" i="175"/>
  <c r="DN37" i="175"/>
  <c r="DM37" i="175"/>
  <c r="DD37" i="175"/>
  <c r="CT37" i="175"/>
  <c r="DP37" i="175" s="1"/>
  <c r="CP37" i="175"/>
  <c r="CN37" i="175" s="1"/>
  <c r="H37" i="175" s="1"/>
  <c r="CL37" i="175"/>
  <c r="CI37" i="175"/>
  <c r="CG37" i="175"/>
  <c r="CF37" i="175"/>
  <c r="CE37" i="175"/>
  <c r="CD37" i="175"/>
  <c r="CB37" i="175"/>
  <c r="BY37" i="175"/>
  <c r="BV37" i="175"/>
  <c r="BU37" i="175"/>
  <c r="BS37" i="175"/>
  <c r="BL37" i="175"/>
  <c r="BB37" i="175"/>
  <c r="AX37" i="175"/>
  <c r="BT37" i="175" s="1"/>
  <c r="AO37" i="175"/>
  <c r="AA37" i="175"/>
  <c r="Y37" i="175"/>
  <c r="ED36" i="175"/>
  <c r="EB36" i="175"/>
  <c r="EA36" i="175"/>
  <c r="DZ36" i="175"/>
  <c r="DY36" i="175"/>
  <c r="DX36" i="175"/>
  <c r="DW36" i="175"/>
  <c r="DV36" i="175"/>
  <c r="DT36" i="175"/>
  <c r="DS36" i="175"/>
  <c r="DQ36" i="175"/>
  <c r="DP36" i="175"/>
  <c r="DN36" i="175"/>
  <c r="DM36" i="175"/>
  <c r="DL36" i="175"/>
  <c r="DJ36" i="175" s="1"/>
  <c r="CP36" i="175"/>
  <c r="CN36" i="175" s="1"/>
  <c r="H36" i="175" s="1"/>
  <c r="CL36" i="175"/>
  <c r="CI36" i="175"/>
  <c r="CH36" i="175"/>
  <c r="CG36" i="175"/>
  <c r="CF36" i="175"/>
  <c r="CE36" i="175"/>
  <c r="CD36" i="175"/>
  <c r="CB36" i="175"/>
  <c r="BY36" i="175"/>
  <c r="BX36" i="175"/>
  <c r="BV36" i="175"/>
  <c r="BU36" i="175"/>
  <c r="BS36" i="175"/>
  <c r="AV36" i="175"/>
  <c r="AA36" i="175"/>
  <c r="BT36" i="175" s="1"/>
  <c r="Y36" i="175"/>
  <c r="I36" i="175" s="1"/>
  <c r="ED35" i="175"/>
  <c r="EB35" i="175"/>
  <c r="EA35" i="175"/>
  <c r="DZ35" i="175"/>
  <c r="DY35" i="175"/>
  <c r="DX35" i="175"/>
  <c r="DW35" i="175"/>
  <c r="DV35" i="175"/>
  <c r="DT35" i="175"/>
  <c r="DS35" i="175"/>
  <c r="CT35" i="175"/>
  <c r="CR35" i="175"/>
  <c r="DN35" i="175" s="1"/>
  <c r="CQ35" i="175"/>
  <c r="DM35" i="175" s="1"/>
  <c r="CL35" i="175"/>
  <c r="CI35" i="175"/>
  <c r="CH35" i="175"/>
  <c r="CG35" i="175"/>
  <c r="CF35" i="175"/>
  <c r="CE35" i="175"/>
  <c r="CD35" i="175"/>
  <c r="CB35" i="175"/>
  <c r="BY35" i="175"/>
  <c r="BU35" i="175"/>
  <c r="BS35" i="175"/>
  <c r="BB35" i="175"/>
  <c r="AZ35" i="175"/>
  <c r="AF35" i="175"/>
  <c r="AE35" i="175"/>
  <c r="AC35" i="175"/>
  <c r="AA35" i="175"/>
  <c r="EC34" i="175"/>
  <c r="DU34" i="175"/>
  <c r="DR34" i="175"/>
  <c r="DN34" i="175"/>
  <c r="DG34" i="175"/>
  <c r="DG197" i="175" s="1"/>
  <c r="DF34" i="175"/>
  <c r="DE34" i="175"/>
  <c r="DA34" i="175"/>
  <c r="CZ34" i="175"/>
  <c r="CY34" i="175"/>
  <c r="CX34" i="175"/>
  <c r="CW34" i="175"/>
  <c r="CV34" i="175"/>
  <c r="CS34" i="175"/>
  <c r="CR34" i="175"/>
  <c r="CP34" i="175"/>
  <c r="CO34" i="175"/>
  <c r="CK34" i="175"/>
  <c r="BZ34" i="175"/>
  <c r="BW34" i="175"/>
  <c r="BU34" i="175"/>
  <c r="BO34" i="175"/>
  <c r="BN34" i="175"/>
  <c r="BM34" i="175"/>
  <c r="BL34" i="175"/>
  <c r="BI34" i="175"/>
  <c r="BH34" i="175"/>
  <c r="BG34" i="175"/>
  <c r="BF34" i="175"/>
  <c r="BE34" i="175"/>
  <c r="BD34" i="175"/>
  <c r="BA34" i="175"/>
  <c r="AZ34" i="175"/>
  <c r="AX34" i="175"/>
  <c r="AW34" i="175"/>
  <c r="AR34" i="175"/>
  <c r="AQ34" i="175"/>
  <c r="AP34" i="175"/>
  <c r="AP197" i="175" s="1"/>
  <c r="AO34" i="175"/>
  <c r="AN34" i="175"/>
  <c r="AL34" i="175"/>
  <c r="AK34" i="175"/>
  <c r="AJ34" i="175"/>
  <c r="AI34" i="175"/>
  <c r="AH34" i="175"/>
  <c r="AG34" i="175"/>
  <c r="AG197" i="175" s="1"/>
  <c r="AE34" i="175"/>
  <c r="AD34" i="175"/>
  <c r="AC34" i="175"/>
  <c r="AB34" i="175"/>
  <c r="Z34" i="175"/>
  <c r="Z197" i="175" s="1"/>
  <c r="G34" i="175"/>
  <c r="G197" i="175" s="1"/>
  <c r="ED33" i="175"/>
  <c r="EB33" i="175"/>
  <c r="EA33" i="175"/>
  <c r="DZ33" i="175"/>
  <c r="DY33" i="175"/>
  <c r="DW33" i="175"/>
  <c r="DV33" i="175"/>
  <c r="DT33" i="175"/>
  <c r="DS33" i="175"/>
  <c r="DQ33" i="175"/>
  <c r="DP33" i="175"/>
  <c r="DN33" i="175"/>
  <c r="DL33" i="175"/>
  <c r="DK33" i="175"/>
  <c r="DB33" i="175"/>
  <c r="CN33" i="175" s="1"/>
  <c r="CI33" i="175"/>
  <c r="CH33" i="175"/>
  <c r="CG33" i="175"/>
  <c r="CE33" i="175"/>
  <c r="CD33" i="175"/>
  <c r="BY33" i="175"/>
  <c r="BX33" i="175"/>
  <c r="BV33" i="175"/>
  <c r="BT33" i="175"/>
  <c r="BS33" i="175"/>
  <c r="BP33" i="175"/>
  <c r="CL33" i="175" s="1"/>
  <c r="BJ33" i="175"/>
  <c r="Y33" i="175"/>
  <c r="ED32" i="175"/>
  <c r="EB32" i="175"/>
  <c r="EA32" i="175"/>
  <c r="DZ32" i="175"/>
  <c r="DW32" i="175"/>
  <c r="DV32" i="175"/>
  <c r="DT32" i="175"/>
  <c r="DS32" i="175"/>
  <c r="DQ32" i="175"/>
  <c r="DP32" i="175"/>
  <c r="DO32" i="175"/>
  <c r="DN32" i="175"/>
  <c r="DL32" i="175"/>
  <c r="DK32" i="175"/>
  <c r="DB32" i="175"/>
  <c r="DC32" i="175" s="1"/>
  <c r="CN32" i="175" s="1"/>
  <c r="CL32" i="175"/>
  <c r="CI32" i="175"/>
  <c r="CH32" i="175"/>
  <c r="CE32" i="175"/>
  <c r="CD32" i="175"/>
  <c r="BY32" i="175"/>
  <c r="BX32" i="175"/>
  <c r="BV32" i="175"/>
  <c r="BT32" i="175"/>
  <c r="BS32" i="175"/>
  <c r="BK32" i="175"/>
  <c r="CG32" i="175" s="1"/>
  <c r="BJ32" i="175"/>
  <c r="AV32" i="175" s="1"/>
  <c r="AU32" i="175" s="1"/>
  <c r="BQ32" i="175" s="1"/>
  <c r="Y32" i="175"/>
  <c r="ED31" i="175"/>
  <c r="EB31" i="175"/>
  <c r="EA31" i="175"/>
  <c r="DZ31" i="175"/>
  <c r="DY31" i="175"/>
  <c r="DW31" i="175"/>
  <c r="DV31" i="175"/>
  <c r="DT31" i="175"/>
  <c r="DS31" i="175"/>
  <c r="DQ31" i="175"/>
  <c r="DP31" i="175"/>
  <c r="DO31" i="175"/>
  <c r="DN31" i="175"/>
  <c r="DL31" i="175"/>
  <c r="DK31" i="175"/>
  <c r="DB31" i="175"/>
  <c r="DX31" i="175" s="1"/>
  <c r="CL31" i="175"/>
  <c r="CI31" i="175"/>
  <c r="CH31" i="175"/>
  <c r="CG31" i="175"/>
  <c r="CE31" i="175"/>
  <c r="CD31" i="175"/>
  <c r="BY31" i="175"/>
  <c r="BX31" i="175"/>
  <c r="BV31" i="175"/>
  <c r="BT31" i="175"/>
  <c r="BS31" i="175"/>
  <c r="BJ31" i="175"/>
  <c r="Y31" i="175"/>
  <c r="ED30" i="175"/>
  <c r="EB30" i="175"/>
  <c r="EA30" i="175"/>
  <c r="DZ30" i="175"/>
  <c r="DY30" i="175"/>
  <c r="DW30" i="175"/>
  <c r="DV30" i="175"/>
  <c r="DT30" i="175"/>
  <c r="DS30" i="175"/>
  <c r="DQ30" i="175"/>
  <c r="DP30" i="175"/>
  <c r="DO30" i="175"/>
  <c r="DN30" i="175"/>
  <c r="DL30" i="175"/>
  <c r="DK30" i="175"/>
  <c r="DB30" i="175"/>
  <c r="CL30" i="175"/>
  <c r="CI30" i="175"/>
  <c r="CH30" i="175"/>
  <c r="CG30" i="175"/>
  <c r="CE30" i="175"/>
  <c r="CD30" i="175"/>
  <c r="BY30" i="175"/>
  <c r="BX30" i="175"/>
  <c r="BV30" i="175"/>
  <c r="BT30" i="175"/>
  <c r="BS30" i="175"/>
  <c r="BJ30" i="175"/>
  <c r="CF30" i="175" s="1"/>
  <c r="AV30" i="175"/>
  <c r="AU30" i="175" s="1"/>
  <c r="BQ30" i="175" s="1"/>
  <c r="Y30" i="175"/>
  <c r="ED29" i="175"/>
  <c r="EB29" i="175"/>
  <c r="EA29" i="175"/>
  <c r="DZ29" i="175"/>
  <c r="DY29" i="175"/>
  <c r="DX29" i="175"/>
  <c r="DW29" i="175"/>
  <c r="DV29" i="175"/>
  <c r="DT29" i="175"/>
  <c r="DS29" i="175"/>
  <c r="DQ29" i="175"/>
  <c r="DP29" i="175"/>
  <c r="DO29" i="175"/>
  <c r="DN29" i="175"/>
  <c r="DL29" i="175"/>
  <c r="DK29" i="175"/>
  <c r="DI29" i="175"/>
  <c r="CN29" i="175"/>
  <c r="H29" i="175" s="1"/>
  <c r="I29" i="175" s="1"/>
  <c r="CM29" i="175"/>
  <c r="CL29" i="175"/>
  <c r="CI29" i="175"/>
  <c r="CH29" i="175"/>
  <c r="CG29" i="175"/>
  <c r="CF29" i="175"/>
  <c r="CE29" i="175"/>
  <c r="CD29" i="175"/>
  <c r="BY29" i="175"/>
  <c r="BX29" i="175"/>
  <c r="BV29" i="175"/>
  <c r="BT29" i="175"/>
  <c r="BS29" i="175"/>
  <c r="BQ29" i="175"/>
  <c r="AV29" i="175"/>
  <c r="AU29" i="175"/>
  <c r="Y29" i="175"/>
  <c r="ED28" i="175"/>
  <c r="EB28" i="175"/>
  <c r="EA28" i="175"/>
  <c r="DZ28" i="175"/>
  <c r="DY28" i="175"/>
  <c r="DW28" i="175"/>
  <c r="DV28" i="175"/>
  <c r="DT28" i="175"/>
  <c r="DS28" i="175"/>
  <c r="DQ28" i="175"/>
  <c r="DP28" i="175"/>
  <c r="DO28" i="175"/>
  <c r="DN28" i="175"/>
  <c r="DL28" i="175"/>
  <c r="DJ28" i="175" s="1"/>
  <c r="DK28" i="175"/>
  <c r="CN28" i="175"/>
  <c r="CL28" i="175"/>
  <c r="CI28" i="175"/>
  <c r="CH28" i="175"/>
  <c r="CG28" i="175"/>
  <c r="CF28" i="175"/>
  <c r="CE28" i="175"/>
  <c r="CD28" i="175"/>
  <c r="BY28" i="175"/>
  <c r="BX28" i="175"/>
  <c r="BV28" i="175"/>
  <c r="BT28" i="175"/>
  <c r="BR28" i="175" s="1"/>
  <c r="BS28" i="175"/>
  <c r="AV28" i="175"/>
  <c r="AM28" i="175"/>
  <c r="DX28" i="175" s="1"/>
  <c r="ED27" i="175"/>
  <c r="EB27" i="175"/>
  <c r="EA27" i="175"/>
  <c r="DZ27" i="175"/>
  <c r="DY27" i="175"/>
  <c r="DW27" i="175"/>
  <c r="DV27" i="175"/>
  <c r="DT27" i="175"/>
  <c r="DS27" i="175"/>
  <c r="DQ27" i="175"/>
  <c r="DP27" i="175"/>
  <c r="DO27" i="175"/>
  <c r="DN27" i="175"/>
  <c r="DL27" i="175"/>
  <c r="DK27" i="175"/>
  <c r="CN27" i="175"/>
  <c r="CL27" i="175"/>
  <c r="CI27" i="175"/>
  <c r="CH27" i="175"/>
  <c r="CG27" i="175"/>
  <c r="CF27" i="175"/>
  <c r="CE27" i="175"/>
  <c r="CD27" i="175"/>
  <c r="BR27" i="175" s="1"/>
  <c r="BY27" i="175"/>
  <c r="BX27" i="175"/>
  <c r="BV27" i="175"/>
  <c r="BT27" i="175"/>
  <c r="BS27" i="175"/>
  <c r="AV27" i="175"/>
  <c r="AM27" i="175"/>
  <c r="DX27" i="175" s="1"/>
  <c r="ED26" i="175"/>
  <c r="EB26" i="175"/>
  <c r="EA26" i="175"/>
  <c r="DZ26" i="175"/>
  <c r="DY26" i="175"/>
  <c r="DX26" i="175"/>
  <c r="DW26" i="175"/>
  <c r="DV26" i="175"/>
  <c r="DT26" i="175"/>
  <c r="DS26" i="175"/>
  <c r="DQ26" i="175"/>
  <c r="DP26" i="175"/>
  <c r="DO26" i="175"/>
  <c r="DN26" i="175"/>
  <c r="DL26" i="175"/>
  <c r="DJ26" i="175" s="1"/>
  <c r="DK26" i="175"/>
  <c r="DI26" i="175"/>
  <c r="CN26" i="175"/>
  <c r="CM26" i="175" s="1"/>
  <c r="CL26" i="175"/>
  <c r="CI26" i="175"/>
  <c r="CH26" i="175"/>
  <c r="CG26" i="175"/>
  <c r="CF26" i="175"/>
  <c r="CE26" i="175"/>
  <c r="CD26" i="175"/>
  <c r="BY26" i="175"/>
  <c r="BX26" i="175"/>
  <c r="BV26" i="175"/>
  <c r="BT26" i="175"/>
  <c r="BR26" i="175" s="1"/>
  <c r="BS26" i="175"/>
  <c r="BQ26" i="175"/>
  <c r="AV26" i="175"/>
  <c r="AU26" i="175" s="1"/>
  <c r="Y26" i="175"/>
  <c r="H26" i="175"/>
  <c r="ED25" i="175"/>
  <c r="EB25" i="175"/>
  <c r="EA25" i="175"/>
  <c r="DZ25" i="175"/>
  <c r="DX25" i="175"/>
  <c r="DW25" i="175"/>
  <c r="DV25" i="175"/>
  <c r="DT25" i="175"/>
  <c r="DS25" i="175"/>
  <c r="DQ25" i="175"/>
  <c r="DO25" i="175"/>
  <c r="DN25" i="175"/>
  <c r="DL25" i="175"/>
  <c r="DK25" i="175"/>
  <c r="DC25" i="175"/>
  <c r="DY25" i="175" s="1"/>
  <c r="CL25" i="175"/>
  <c r="CI25" i="175"/>
  <c r="CH25" i="175"/>
  <c r="CF25" i="175"/>
  <c r="CE25" i="175"/>
  <c r="CD25" i="175"/>
  <c r="BY25" i="175"/>
  <c r="BV25" i="175"/>
  <c r="BT25" i="175"/>
  <c r="BS25" i="175"/>
  <c r="BK25" i="175"/>
  <c r="CG25" i="175" s="1"/>
  <c r="BB25" i="175"/>
  <c r="BX25" i="175" s="1"/>
  <c r="Y25" i="175"/>
  <c r="ED24" i="175"/>
  <c r="EB24" i="175"/>
  <c r="EA24" i="175"/>
  <c r="DZ24" i="175"/>
  <c r="DY24" i="175"/>
  <c r="DX24" i="175"/>
  <c r="DW24" i="175"/>
  <c r="DV24" i="175"/>
  <c r="DT24" i="175"/>
  <c r="DS24" i="175"/>
  <c r="DQ24" i="175"/>
  <c r="DO24" i="175"/>
  <c r="DN24" i="175"/>
  <c r="DL24" i="175"/>
  <c r="DK24" i="175"/>
  <c r="CT24" i="175"/>
  <c r="DP24" i="175" s="1"/>
  <c r="CL24" i="175"/>
  <c r="CK24" i="175"/>
  <c r="CK203" i="175" s="1"/>
  <c r="CJ24" i="175"/>
  <c r="CI24" i="175"/>
  <c r="CH24" i="175"/>
  <c r="CG24" i="175"/>
  <c r="CF24" i="175"/>
  <c r="CE24" i="175"/>
  <c r="CD24" i="175"/>
  <c r="CC24" i="175"/>
  <c r="CB24" i="175"/>
  <c r="CA24" i="175"/>
  <c r="BY24" i="175"/>
  <c r="BV24" i="175"/>
  <c r="BT24" i="175"/>
  <c r="BS24" i="175"/>
  <c r="BB24" i="175"/>
  <c r="Y24" i="175"/>
  <c r="ED23" i="175"/>
  <c r="EB23" i="175"/>
  <c r="EA23" i="175"/>
  <c r="DX23" i="175"/>
  <c r="DW23" i="175"/>
  <c r="DV23" i="175"/>
  <c r="DT23" i="175"/>
  <c r="DS23" i="175"/>
  <c r="DQ23" i="175"/>
  <c r="DP23" i="175"/>
  <c r="DO23" i="175"/>
  <c r="DN23" i="175"/>
  <c r="DL23" i="175"/>
  <c r="DK23" i="175"/>
  <c r="DD23" i="175"/>
  <c r="DC23" i="175"/>
  <c r="CL23" i="175"/>
  <c r="CI23" i="175"/>
  <c r="CH23" i="175"/>
  <c r="CF23" i="175"/>
  <c r="CE23" i="175"/>
  <c r="CD23" i="175"/>
  <c r="BY23" i="175"/>
  <c r="BX23" i="175"/>
  <c r="BV23" i="175"/>
  <c r="BT23" i="175"/>
  <c r="BS23" i="175"/>
  <c r="BL23" i="175"/>
  <c r="BK23" i="175"/>
  <c r="CG23" i="175" s="1"/>
  <c r="AV23" i="175"/>
  <c r="AN23" i="175"/>
  <c r="Y23" i="175"/>
  <c r="EB22" i="175"/>
  <c r="EA22" i="175"/>
  <c r="DY22" i="175"/>
  <c r="DX22" i="175"/>
  <c r="DW22" i="175"/>
  <c r="DV22" i="175"/>
  <c r="DT22" i="175"/>
  <c r="DS22" i="175"/>
  <c r="DQ22" i="175"/>
  <c r="DP22" i="175"/>
  <c r="DO22" i="175"/>
  <c r="DN22" i="175"/>
  <c r="DL22" i="175"/>
  <c r="DK22" i="175"/>
  <c r="DH22" i="175"/>
  <c r="ED22" i="175" s="1"/>
  <c r="DD22" i="175"/>
  <c r="CN22" i="175"/>
  <c r="H22" i="175" s="1"/>
  <c r="CI22" i="175"/>
  <c r="CG22" i="175"/>
  <c r="CF22" i="175"/>
  <c r="CE22" i="175"/>
  <c r="CD22" i="175"/>
  <c r="BY22" i="175"/>
  <c r="BX22" i="175"/>
  <c r="BV22" i="175"/>
  <c r="BT22" i="175"/>
  <c r="BS22" i="175"/>
  <c r="BP22" i="175"/>
  <c r="CL22" i="175" s="1"/>
  <c r="BL22" i="175"/>
  <c r="AV22" i="175"/>
  <c r="AU22" i="175"/>
  <c r="AS22" i="175"/>
  <c r="Y22" i="175"/>
  <c r="ED21" i="175"/>
  <c r="EB21" i="175"/>
  <c r="EA21" i="175"/>
  <c r="DZ21" i="175"/>
  <c r="DY21" i="175"/>
  <c r="DX21" i="175"/>
  <c r="DW21" i="175"/>
  <c r="DV21" i="175"/>
  <c r="DT21" i="175"/>
  <c r="DS21" i="175"/>
  <c r="DP21" i="175"/>
  <c r="DO21" i="175"/>
  <c r="DN21" i="175"/>
  <c r="DL21" i="175"/>
  <c r="DK21" i="175"/>
  <c r="CN21" i="175"/>
  <c r="CL21" i="175"/>
  <c r="CI21" i="175"/>
  <c r="CH21" i="175"/>
  <c r="CG21" i="175"/>
  <c r="CF21" i="175"/>
  <c r="CE21" i="175"/>
  <c r="CD21" i="175"/>
  <c r="BX21" i="175"/>
  <c r="BV21" i="175"/>
  <c r="BT21" i="175"/>
  <c r="BS21" i="175"/>
  <c r="AV21" i="175"/>
  <c r="AF21" i="175"/>
  <c r="Y21" i="175" s="1"/>
  <c r="AA21" i="175"/>
  <c r="H21" i="175"/>
  <c r="ED20" i="175"/>
  <c r="EB20" i="175"/>
  <c r="EA20" i="175"/>
  <c r="DZ20" i="175"/>
  <c r="DX20" i="175"/>
  <c r="DW20" i="175"/>
  <c r="DV20" i="175"/>
  <c r="DT20" i="175"/>
  <c r="DS20" i="175"/>
  <c r="DQ20" i="175"/>
  <c r="DP20" i="175"/>
  <c r="DO20" i="175"/>
  <c r="DN20" i="175"/>
  <c r="DL20" i="175"/>
  <c r="DK20" i="175"/>
  <c r="CN20" i="175"/>
  <c r="H20" i="175" s="1"/>
  <c r="CL20" i="175"/>
  <c r="CI20" i="175"/>
  <c r="CH20" i="175"/>
  <c r="CG20" i="175"/>
  <c r="CF20" i="175"/>
  <c r="CE20" i="175"/>
  <c r="CD20" i="175"/>
  <c r="BY20" i="175"/>
  <c r="BX20" i="175"/>
  <c r="BV20" i="175"/>
  <c r="BT20" i="175"/>
  <c r="BS20" i="175"/>
  <c r="AV20" i="175"/>
  <c r="AN20" i="175"/>
  <c r="DY20" i="175" s="1"/>
  <c r="AF20" i="175"/>
  <c r="Y20" i="175" s="1"/>
  <c r="ED19" i="175"/>
  <c r="EB19" i="175"/>
  <c r="EA19" i="175"/>
  <c r="DZ19" i="175"/>
  <c r="DX19" i="175"/>
  <c r="DW19" i="175"/>
  <c r="DV19" i="175"/>
  <c r="DT19" i="175"/>
  <c r="DS19" i="175"/>
  <c r="DP19" i="175"/>
  <c r="DO19" i="175"/>
  <c r="DN19" i="175"/>
  <c r="DL19" i="175"/>
  <c r="DK19" i="175"/>
  <c r="CU19" i="175"/>
  <c r="CN19" i="175" s="1"/>
  <c r="CL19" i="175"/>
  <c r="CI19" i="175"/>
  <c r="CH19" i="175"/>
  <c r="CG19" i="175"/>
  <c r="CF19" i="175"/>
  <c r="CE19" i="175"/>
  <c r="CD19" i="175"/>
  <c r="BY19" i="175"/>
  <c r="BX19" i="175"/>
  <c r="BV19" i="175"/>
  <c r="BS19" i="175"/>
  <c r="BC19" i="175"/>
  <c r="AV19" i="175" s="1"/>
  <c r="AN19" i="175"/>
  <c r="DY19" i="175" s="1"/>
  <c r="AF19" i="175"/>
  <c r="AA19" i="175"/>
  <c r="Y19" i="175"/>
  <c r="ED18" i="175"/>
  <c r="EB18" i="175"/>
  <c r="EA18" i="175"/>
  <c r="DZ18" i="175"/>
  <c r="DY18" i="175"/>
  <c r="DX18" i="175"/>
  <c r="DW18" i="175"/>
  <c r="DV18" i="175"/>
  <c r="DT18" i="175"/>
  <c r="DS18" i="175"/>
  <c r="DO18" i="175"/>
  <c r="DN18" i="175"/>
  <c r="DL18" i="175"/>
  <c r="DK18" i="175"/>
  <c r="CT18" i="175"/>
  <c r="DP18" i="175" s="1"/>
  <c r="CL18" i="175"/>
  <c r="CI18" i="175"/>
  <c r="CH18" i="175"/>
  <c r="CG18" i="175"/>
  <c r="CF18" i="175"/>
  <c r="CE18" i="175"/>
  <c r="CD18" i="175"/>
  <c r="CC18" i="175"/>
  <c r="CC201" i="175" s="1"/>
  <c r="CB18" i="175"/>
  <c r="CB201" i="175" s="1"/>
  <c r="CA18" i="175"/>
  <c r="CA201" i="175" s="1"/>
  <c r="BV18" i="175"/>
  <c r="BT18" i="175"/>
  <c r="BS18" i="175"/>
  <c r="BC18" i="175"/>
  <c r="BB18" i="175"/>
  <c r="BX18" i="175" s="1"/>
  <c r="AS18" i="175"/>
  <c r="AF18" i="175"/>
  <c r="Y18" i="175"/>
  <c r="EB17" i="175"/>
  <c r="EA17" i="175"/>
  <c r="DZ17" i="175"/>
  <c r="DY17" i="175"/>
  <c r="DX17" i="175"/>
  <c r="DX201" i="175" s="1"/>
  <c r="DW17" i="175"/>
  <c r="DV17" i="175"/>
  <c r="DT17" i="175"/>
  <c r="DS17" i="175"/>
  <c r="DQ17" i="175"/>
  <c r="DO17" i="175"/>
  <c r="DO201" i="175" s="1"/>
  <c r="DN17" i="175"/>
  <c r="DN201" i="175" s="1"/>
  <c r="DL17" i="175"/>
  <c r="DK17" i="175"/>
  <c r="DH17" i="175"/>
  <c r="CI17" i="175"/>
  <c r="CH17" i="175"/>
  <c r="CF17" i="175"/>
  <c r="CF201" i="175" s="1"/>
  <c r="CE17" i="175"/>
  <c r="CD17" i="175"/>
  <c r="BY17" i="175"/>
  <c r="BV17" i="175"/>
  <c r="BT17" i="175"/>
  <c r="BS17" i="175"/>
  <c r="BP17" i="175"/>
  <c r="BB17" i="175"/>
  <c r="AS17" i="175"/>
  <c r="AN17" i="175"/>
  <c r="Y17" i="175"/>
  <c r="ED16" i="175"/>
  <c r="EB16" i="175"/>
  <c r="EA16" i="175"/>
  <c r="DZ16" i="175"/>
  <c r="DX16" i="175"/>
  <c r="DW16" i="175"/>
  <c r="DV16" i="175"/>
  <c r="DT16" i="175"/>
  <c r="DS16" i="175"/>
  <c r="DQ16" i="175"/>
  <c r="DP16" i="175"/>
  <c r="DO16" i="175"/>
  <c r="DN16" i="175"/>
  <c r="DL16" i="175"/>
  <c r="DK16" i="175"/>
  <c r="CN16" i="175"/>
  <c r="CL16" i="175"/>
  <c r="CI16" i="175"/>
  <c r="CH16" i="175"/>
  <c r="CG16" i="175"/>
  <c r="CF16" i="175"/>
  <c r="CE16" i="175"/>
  <c r="CD16" i="175"/>
  <c r="BY16" i="175"/>
  <c r="BX16" i="175"/>
  <c r="BV16" i="175"/>
  <c r="BT16" i="175"/>
  <c r="BS16" i="175"/>
  <c r="AV16" i="175"/>
  <c r="AN16" i="175"/>
  <c r="Y16" i="175"/>
  <c r="H16" i="175"/>
  <c r="ED15" i="175"/>
  <c r="EB15" i="175"/>
  <c r="EA15" i="175"/>
  <c r="DZ15" i="175"/>
  <c r="DY15" i="175"/>
  <c r="DX15" i="175"/>
  <c r="DW15" i="175"/>
  <c r="DV15" i="175"/>
  <c r="DT15" i="175"/>
  <c r="DS15" i="175"/>
  <c r="DQ15" i="175"/>
  <c r="DP15" i="175"/>
  <c r="DJ15" i="175" s="1"/>
  <c r="DO15" i="175"/>
  <c r="DN15" i="175"/>
  <c r="DL15" i="175"/>
  <c r="DK15" i="175"/>
  <c r="CN15" i="175"/>
  <c r="H15" i="175" s="1"/>
  <c r="I15" i="175" s="1"/>
  <c r="CM15" i="175"/>
  <c r="DI15" i="175" s="1"/>
  <c r="CL15" i="175"/>
  <c r="CI15" i="175"/>
  <c r="CH15" i="175"/>
  <c r="CG15" i="175"/>
  <c r="CF15" i="175"/>
  <c r="CE15" i="175"/>
  <c r="CD15" i="175"/>
  <c r="BY15" i="175"/>
  <c r="BR15" i="175" s="1"/>
  <c r="BX15" i="175"/>
  <c r="BV15" i="175"/>
  <c r="BT15" i="175"/>
  <c r="BS15" i="175"/>
  <c r="AV15" i="175"/>
  <c r="AU15" i="175"/>
  <c r="BQ15" i="175" s="1"/>
  <c r="Y15" i="175"/>
  <c r="ED14" i="175"/>
  <c r="EB14" i="175"/>
  <c r="EA14" i="175"/>
  <c r="DZ14" i="175"/>
  <c r="DY14" i="175"/>
  <c r="DX14" i="175"/>
  <c r="DW14" i="175"/>
  <c r="DV14" i="175"/>
  <c r="DT14" i="175"/>
  <c r="DS14" i="175"/>
  <c r="DQ14" i="175"/>
  <c r="DP14" i="175"/>
  <c r="DO14" i="175"/>
  <c r="DN14" i="175"/>
  <c r="DL14" i="175"/>
  <c r="DK14" i="175"/>
  <c r="CN14" i="175"/>
  <c r="H14" i="175" s="1"/>
  <c r="CL14" i="175"/>
  <c r="CI14" i="175"/>
  <c r="CH14" i="175"/>
  <c r="CG14" i="175"/>
  <c r="CF14" i="175"/>
  <c r="CE14" i="175"/>
  <c r="CD14" i="175"/>
  <c r="BY14" i="175"/>
  <c r="BX14" i="175"/>
  <c r="BV14" i="175"/>
  <c r="BT14" i="175"/>
  <c r="BR14" i="175" s="1"/>
  <c r="BS14" i="175"/>
  <c r="AV14" i="175"/>
  <c r="Y14" i="175"/>
  <c r="ED13" i="175"/>
  <c r="EB13" i="175"/>
  <c r="EA13" i="175"/>
  <c r="DZ13" i="175"/>
  <c r="DY13" i="175"/>
  <c r="DX13" i="175"/>
  <c r="DW13" i="175"/>
  <c r="DV13" i="175"/>
  <c r="DT13" i="175"/>
  <c r="DS13" i="175"/>
  <c r="DQ13" i="175"/>
  <c r="DO13" i="175"/>
  <c r="DN13" i="175"/>
  <c r="DL13" i="175"/>
  <c r="DK13" i="175"/>
  <c r="CT13" i="175"/>
  <c r="DP13" i="175" s="1"/>
  <c r="CL13" i="175"/>
  <c r="CI13" i="175"/>
  <c r="CH13" i="175"/>
  <c r="CG13" i="175"/>
  <c r="CF13" i="175"/>
  <c r="CE13" i="175"/>
  <c r="CD13" i="175"/>
  <c r="BY13" i="175"/>
  <c r="BV13" i="175"/>
  <c r="BT13" i="175"/>
  <c r="BS13" i="175"/>
  <c r="BB13" i="175"/>
  <c r="Y13" i="175"/>
  <c r="ED12" i="175"/>
  <c r="EB12" i="175"/>
  <c r="EA12" i="175"/>
  <c r="DZ12" i="175"/>
  <c r="DY12" i="175"/>
  <c r="DX12" i="175"/>
  <c r="DW12" i="175"/>
  <c r="DV12" i="175"/>
  <c r="DT12" i="175"/>
  <c r="DS12" i="175"/>
  <c r="DQ12" i="175"/>
  <c r="DO12" i="175"/>
  <c r="DN12" i="175"/>
  <c r="DL12" i="175"/>
  <c r="DK12" i="175"/>
  <c r="CT12" i="175"/>
  <c r="CL12" i="175"/>
  <c r="CI12" i="175"/>
  <c r="CH12" i="175"/>
  <c r="CG12" i="175"/>
  <c r="CF12" i="175"/>
  <c r="CE12" i="175"/>
  <c r="CD12" i="175"/>
  <c r="BY12" i="175"/>
  <c r="BV12" i="175"/>
  <c r="BT12" i="175"/>
  <c r="BS12" i="175"/>
  <c r="BB12" i="175"/>
  <c r="BX12" i="175" s="1"/>
  <c r="Y12" i="175"/>
  <c r="ED11" i="175"/>
  <c r="EB11" i="175"/>
  <c r="EA11" i="175"/>
  <c r="DZ11" i="175"/>
  <c r="DY11" i="175"/>
  <c r="DX11" i="175"/>
  <c r="DW11" i="175"/>
  <c r="DV11" i="175"/>
  <c r="DT11" i="175"/>
  <c r="DS11" i="175"/>
  <c r="DQ11" i="175"/>
  <c r="DO11" i="175"/>
  <c r="DN11" i="175"/>
  <c r="DL11" i="175"/>
  <c r="DK11" i="175"/>
  <c r="CT11" i="175"/>
  <c r="CN11" i="175" s="1"/>
  <c r="H11" i="175" s="1"/>
  <c r="CL11" i="175"/>
  <c r="CI11" i="175"/>
  <c r="CH11" i="175"/>
  <c r="CG11" i="175"/>
  <c r="CF11" i="175"/>
  <c r="CE11" i="175"/>
  <c r="CD11" i="175"/>
  <c r="BY11" i="175"/>
  <c r="BV11" i="175"/>
  <c r="BT11" i="175"/>
  <c r="BS11" i="175"/>
  <c r="BB11" i="175"/>
  <c r="BX11" i="175" s="1"/>
  <c r="AE11" i="175"/>
  <c r="AE203" i="175" s="1"/>
  <c r="Y11" i="175"/>
  <c r="EB10" i="175"/>
  <c r="EA10" i="175"/>
  <c r="DZ10" i="175"/>
  <c r="DY10" i="175"/>
  <c r="DX10" i="175"/>
  <c r="DW10" i="175"/>
  <c r="DV10" i="175"/>
  <c r="DT10" i="175"/>
  <c r="DS10" i="175"/>
  <c r="DQ10" i="175"/>
  <c r="DP10" i="175"/>
  <c r="DO10" i="175"/>
  <c r="DN10" i="175"/>
  <c r="DL10" i="175"/>
  <c r="DK10" i="175"/>
  <c r="DH10" i="175"/>
  <c r="CN10" i="175" s="1"/>
  <c r="CI10" i="175"/>
  <c r="CH10" i="175"/>
  <c r="CG10" i="175"/>
  <c r="CF10" i="175"/>
  <c r="CE10" i="175"/>
  <c r="CD10" i="175"/>
  <c r="CC10" i="175"/>
  <c r="CB10" i="175"/>
  <c r="CA10" i="175"/>
  <c r="BY10" i="175"/>
  <c r="BX10" i="175"/>
  <c r="BV10" i="175"/>
  <c r="BT10" i="175"/>
  <c r="BS10" i="175"/>
  <c r="BP10" i="175"/>
  <c r="BP203" i="175" s="1"/>
  <c r="AS10" i="175"/>
  <c r="Y10" i="175" s="1"/>
  <c r="ED9" i="175"/>
  <c r="EB9" i="175"/>
  <c r="EA9" i="175"/>
  <c r="DZ9" i="175"/>
  <c r="DY9" i="175"/>
  <c r="DW9" i="175"/>
  <c r="DV9" i="175"/>
  <c r="DT9" i="175"/>
  <c r="DS9" i="175"/>
  <c r="DQ9" i="175"/>
  <c r="DP9" i="175"/>
  <c r="DO9" i="175"/>
  <c r="DN9" i="175"/>
  <c r="DL9" i="175"/>
  <c r="DK9" i="175"/>
  <c r="DB9" i="175"/>
  <c r="CN9" i="175"/>
  <c r="H9" i="175" s="1"/>
  <c r="CL9" i="175"/>
  <c r="CI9" i="175"/>
  <c r="CH9" i="175"/>
  <c r="CG9" i="175"/>
  <c r="CE9" i="175"/>
  <c r="CD9" i="175"/>
  <c r="BY9" i="175"/>
  <c r="BX9" i="175"/>
  <c r="BV9" i="175"/>
  <c r="BV34" i="175" s="1"/>
  <c r="BT9" i="175"/>
  <c r="BS9" i="175"/>
  <c r="BJ9" i="175"/>
  <c r="AV9" i="175" s="1"/>
  <c r="AM9" i="175"/>
  <c r="ED8" i="175"/>
  <c r="EB8" i="175"/>
  <c r="EA8" i="175"/>
  <c r="DZ8" i="175"/>
  <c r="DY8" i="175"/>
  <c r="DW8" i="175"/>
  <c r="DV8" i="175"/>
  <c r="DT8" i="175"/>
  <c r="DS8" i="175"/>
  <c r="DQ8" i="175"/>
  <c r="DP8" i="175"/>
  <c r="DO8" i="175"/>
  <c r="DN8" i="175"/>
  <c r="DL8" i="175"/>
  <c r="DK8" i="175"/>
  <c r="CN8" i="175"/>
  <c r="CL8" i="175"/>
  <c r="CI8" i="175"/>
  <c r="CH8" i="175"/>
  <c r="CG8" i="175"/>
  <c r="CF8" i="175"/>
  <c r="CE8" i="175"/>
  <c r="CD8" i="175"/>
  <c r="BY8" i="175"/>
  <c r="BX8" i="175"/>
  <c r="BV8" i="175"/>
  <c r="BT8" i="175"/>
  <c r="BS8" i="175"/>
  <c r="AV8" i="175"/>
  <c r="AM8" i="175"/>
  <c r="H8" i="175"/>
  <c r="ED7" i="175"/>
  <c r="EB7" i="175"/>
  <c r="EA7" i="175"/>
  <c r="DZ7" i="175"/>
  <c r="DY7" i="175"/>
  <c r="DW7" i="175"/>
  <c r="DV7" i="175"/>
  <c r="DT7" i="175"/>
  <c r="DS7" i="175"/>
  <c r="DQ7" i="175"/>
  <c r="DP7" i="175"/>
  <c r="DO7" i="175"/>
  <c r="DN7" i="175"/>
  <c r="DL7" i="175"/>
  <c r="DK7" i="175"/>
  <c r="DB7" i="175"/>
  <c r="CN7" i="175" s="1"/>
  <c r="CL7" i="175"/>
  <c r="CI7" i="175"/>
  <c r="CH7" i="175"/>
  <c r="CG7" i="175"/>
  <c r="CE7" i="175"/>
  <c r="CD7" i="175"/>
  <c r="BY7" i="175"/>
  <c r="BX7" i="175"/>
  <c r="BV7" i="175"/>
  <c r="BT7" i="175"/>
  <c r="BS7" i="175"/>
  <c r="BJ7" i="175"/>
  <c r="CF7" i="175" s="1"/>
  <c r="BR7" i="175" s="1"/>
  <c r="AV7" i="175"/>
  <c r="AM7" i="175"/>
  <c r="Y7" i="175" s="1"/>
  <c r="ED6" i="175"/>
  <c r="EB6" i="175"/>
  <c r="EA6" i="175"/>
  <c r="DZ6" i="175"/>
  <c r="DY6" i="175"/>
  <c r="DX6" i="175"/>
  <c r="DW6" i="175"/>
  <c r="DV6" i="175"/>
  <c r="DT6" i="175"/>
  <c r="DS6" i="175"/>
  <c r="DQ6" i="175"/>
  <c r="DP6" i="175"/>
  <c r="DO6" i="175"/>
  <c r="DN6" i="175"/>
  <c r="DL6" i="175"/>
  <c r="DK6" i="175"/>
  <c r="DK34" i="175" s="1"/>
  <c r="CN6" i="175"/>
  <c r="CL6" i="175"/>
  <c r="CI6" i="175"/>
  <c r="CH6" i="175"/>
  <c r="CG6" i="175"/>
  <c r="CE6" i="175"/>
  <c r="CD6" i="175"/>
  <c r="BY6" i="175"/>
  <c r="BX6" i="175"/>
  <c r="BV6" i="175"/>
  <c r="BT6" i="175"/>
  <c r="BS6" i="175"/>
  <c r="BJ6" i="175"/>
  <c r="AV6" i="175" s="1"/>
  <c r="AU6" i="175" s="1"/>
  <c r="BQ6" i="175" s="1"/>
  <c r="Y6" i="175"/>
  <c r="I6" i="175"/>
  <c r="H6" i="175"/>
  <c r="ED5" i="175"/>
  <c r="EB5" i="175"/>
  <c r="EB34" i="175" s="1"/>
  <c r="EA5" i="175"/>
  <c r="EA34" i="175" s="1"/>
  <c r="DZ5" i="175"/>
  <c r="DY5" i="175"/>
  <c r="DX5" i="175"/>
  <c r="DW5" i="175"/>
  <c r="DV5" i="175"/>
  <c r="DT5" i="175"/>
  <c r="DS5" i="175"/>
  <c r="DQ5" i="175"/>
  <c r="DJ5" i="175" s="1"/>
  <c r="DP5" i="175"/>
  <c r="DO5" i="175"/>
  <c r="DN5" i="175"/>
  <c r="DL5" i="175"/>
  <c r="DK5" i="175"/>
  <c r="CN5" i="175"/>
  <c r="CL5" i="175"/>
  <c r="CI5" i="175"/>
  <c r="CH5" i="175"/>
  <c r="CG5" i="175"/>
  <c r="CF5" i="175"/>
  <c r="CE5" i="175"/>
  <c r="CD5" i="175"/>
  <c r="CD34" i="175" s="1"/>
  <c r="BY5" i="175"/>
  <c r="BX5" i="175"/>
  <c r="BV5" i="175"/>
  <c r="BT5" i="175"/>
  <c r="BS5" i="175"/>
  <c r="AV5" i="175"/>
  <c r="Y5" i="175"/>
  <c r="ED4" i="175"/>
  <c r="EB4" i="175"/>
  <c r="EA4" i="175"/>
  <c r="DZ4" i="175"/>
  <c r="DY4" i="175"/>
  <c r="DW4" i="175"/>
  <c r="DV4" i="175"/>
  <c r="DT4" i="175"/>
  <c r="DS4" i="175"/>
  <c r="DQ4" i="175"/>
  <c r="DP4" i="175"/>
  <c r="DO4" i="175"/>
  <c r="DN4" i="175"/>
  <c r="DL4" i="175"/>
  <c r="DK4" i="175"/>
  <c r="DB4" i="175"/>
  <c r="DX4" i="175" s="1"/>
  <c r="CN4" i="175"/>
  <c r="CL4" i="175"/>
  <c r="CJ4" i="175"/>
  <c r="CJ203" i="175" s="1"/>
  <c r="CI4" i="175"/>
  <c r="CH4" i="175"/>
  <c r="CG4" i="175"/>
  <c r="CE4" i="175"/>
  <c r="CD4" i="175"/>
  <c r="CC4" i="175"/>
  <c r="CB4" i="175"/>
  <c r="CA4" i="175"/>
  <c r="BY4" i="175"/>
  <c r="BX4" i="175"/>
  <c r="BV4" i="175"/>
  <c r="BT4" i="175"/>
  <c r="BS4" i="175"/>
  <c r="BJ4" i="175"/>
  <c r="AV4" i="175" s="1"/>
  <c r="Y4" i="175"/>
  <c r="CH3" i="175"/>
  <c r="DD3" i="175" s="1"/>
  <c r="DE205" i="175" l="1"/>
  <c r="CY197" i="175"/>
  <c r="BG197" i="175"/>
  <c r="CY205" i="175"/>
  <c r="CY207" i="175" s="1"/>
  <c r="H115" i="175"/>
  <c r="I115" i="175" s="1"/>
  <c r="CM115" i="175"/>
  <c r="DI115" i="175" s="1"/>
  <c r="DY23" i="175"/>
  <c r="CN44" i="175"/>
  <c r="H44" i="175" s="1"/>
  <c r="DM47" i="175"/>
  <c r="DM67" i="175" s="1"/>
  <c r="DA67" i="175"/>
  <c r="AV114" i="175"/>
  <c r="AV133" i="175"/>
  <c r="AU133" i="175" s="1"/>
  <c r="BQ133" i="175" s="1"/>
  <c r="DP11" i="175"/>
  <c r="AV35" i="175"/>
  <c r="AV55" i="175"/>
  <c r="CN178" i="175"/>
  <c r="H178" i="175" s="1"/>
  <c r="BC201" i="175"/>
  <c r="CN54" i="175"/>
  <c r="AV60" i="175"/>
  <c r="AU60" i="175" s="1"/>
  <c r="BQ60" i="175" s="1"/>
  <c r="EB39" i="175"/>
  <c r="EB202" i="175" s="1"/>
  <c r="DX33" i="175"/>
  <c r="DJ33" i="175" s="1"/>
  <c r="AV137" i="175"/>
  <c r="DP43" i="175"/>
  <c r="CF6" i="175"/>
  <c r="BR6" i="175" s="1"/>
  <c r="BR11" i="175"/>
  <c r="DJ49" i="175"/>
  <c r="BR127" i="175"/>
  <c r="DZ124" i="175"/>
  <c r="DZ206" i="175" s="1"/>
  <c r="BL206" i="175"/>
  <c r="DB34" i="175"/>
  <c r="ED10" i="175"/>
  <c r="DJ24" i="175"/>
  <c r="AV65" i="175"/>
  <c r="ED68" i="175"/>
  <c r="CN71" i="175"/>
  <c r="H71" i="175" s="1"/>
  <c r="DJ86" i="175"/>
  <c r="BI104" i="175"/>
  <c r="CN111" i="175"/>
  <c r="CM111" i="175" s="1"/>
  <c r="DI111" i="175" s="1"/>
  <c r="CN150" i="175"/>
  <c r="I165" i="175"/>
  <c r="CU18" i="175"/>
  <c r="CU201" i="175" s="1"/>
  <c r="BR30" i="175"/>
  <c r="DJ10" i="175"/>
  <c r="BX43" i="175"/>
  <c r="BI67" i="175"/>
  <c r="DC104" i="175"/>
  <c r="H81" i="175"/>
  <c r="CH114" i="175"/>
  <c r="BR114" i="175" s="1"/>
  <c r="CN127" i="175"/>
  <c r="DP188" i="175"/>
  <c r="DD129" i="175"/>
  <c r="DP101" i="175"/>
  <c r="DJ11" i="175"/>
  <c r="BR23" i="175"/>
  <c r="BR62" i="175"/>
  <c r="BR65" i="175"/>
  <c r="DJ69" i="175"/>
  <c r="DJ85" i="175"/>
  <c r="ED165" i="175"/>
  <c r="DJ165" i="175" s="1"/>
  <c r="I172" i="175"/>
  <c r="CM185" i="175"/>
  <c r="DI185" i="175" s="1"/>
  <c r="H185" i="175"/>
  <c r="BR124" i="175"/>
  <c r="I93" i="175"/>
  <c r="DN155" i="175"/>
  <c r="DJ155" i="175" s="1"/>
  <c r="BR169" i="175"/>
  <c r="CL169" i="175"/>
  <c r="H193" i="175"/>
  <c r="I193" i="175" s="1"/>
  <c r="AV10" i="175"/>
  <c r="CT25" i="175"/>
  <c r="CN25" i="175" s="1"/>
  <c r="DL37" i="175"/>
  <c r="AV40" i="175"/>
  <c r="AU40" i="175" s="1"/>
  <c r="BQ40" i="175" s="1"/>
  <c r="CN40" i="175"/>
  <c r="CN45" i="175"/>
  <c r="H45" i="175" s="1"/>
  <c r="I45" i="175" s="1"/>
  <c r="AV48" i="175"/>
  <c r="AV63" i="175"/>
  <c r="BK204" i="175"/>
  <c r="BR80" i="175"/>
  <c r="BX95" i="175"/>
  <c r="BR95" i="175" s="1"/>
  <c r="AV96" i="175"/>
  <c r="CM102" i="175"/>
  <c r="DI102" i="175" s="1"/>
  <c r="CN113" i="175"/>
  <c r="AV118" i="175"/>
  <c r="ED122" i="175"/>
  <c r="EA129" i="175"/>
  <c r="AV134" i="175"/>
  <c r="AU134" i="175" s="1"/>
  <c r="BQ134" i="175" s="1"/>
  <c r="CN135" i="175"/>
  <c r="AV160" i="175"/>
  <c r="DN162" i="175"/>
  <c r="DP185" i="175"/>
  <c r="BM205" i="175"/>
  <c r="AV168" i="175"/>
  <c r="AV37" i="175"/>
  <c r="AU37" i="175" s="1"/>
  <c r="BQ37" i="175" s="1"/>
  <c r="DP56" i="175"/>
  <c r="DP93" i="175"/>
  <c r="DJ93" i="175" s="1"/>
  <c r="DP41" i="175"/>
  <c r="DJ41" i="175" s="1"/>
  <c r="AV71" i="175"/>
  <c r="AU71" i="175" s="1"/>
  <c r="BQ71" i="175" s="1"/>
  <c r="DH104" i="175"/>
  <c r="BW135" i="175"/>
  <c r="BE197" i="175"/>
  <c r="DC34" i="175"/>
  <c r="AV47" i="175"/>
  <c r="AU47" i="175" s="1"/>
  <c r="BQ47" i="175" s="1"/>
  <c r="CN50" i="175"/>
  <c r="H50" i="175" s="1"/>
  <c r="BR51" i="175"/>
  <c r="AV62" i="175"/>
  <c r="AU62" i="175" s="1"/>
  <c r="BQ62" i="175" s="1"/>
  <c r="BR63" i="175"/>
  <c r="BR76" i="175"/>
  <c r="BX99" i="175"/>
  <c r="BR160" i="175"/>
  <c r="CN167" i="175"/>
  <c r="H167" i="175" s="1"/>
  <c r="I167" i="175" s="1"/>
  <c r="CG190" i="175"/>
  <c r="BR190" i="175" s="1"/>
  <c r="BK195" i="175"/>
  <c r="CF32" i="175"/>
  <c r="BR32" i="175" s="1"/>
  <c r="DX32" i="175"/>
  <c r="DL44" i="175"/>
  <c r="DP54" i="175"/>
  <c r="DJ63" i="175"/>
  <c r="DJ4" i="175"/>
  <c r="AV12" i="175"/>
  <c r="AU12" i="175" s="1"/>
  <c r="BQ12" i="175" s="1"/>
  <c r="CN35" i="175"/>
  <c r="H35" i="175" s="1"/>
  <c r="ED50" i="175"/>
  <c r="BR54" i="175"/>
  <c r="CW67" i="175"/>
  <c r="DP71" i="175"/>
  <c r="AZ204" i="175"/>
  <c r="CN101" i="175"/>
  <c r="H101" i="175" s="1"/>
  <c r="DC129" i="175"/>
  <c r="I185" i="175"/>
  <c r="CT195" i="175"/>
  <c r="DY70" i="175"/>
  <c r="CF4" i="175"/>
  <c r="CW197" i="175"/>
  <c r="CA48" i="175"/>
  <c r="CA202" i="175" s="1"/>
  <c r="I71" i="175"/>
  <c r="BX76" i="175"/>
  <c r="BR91" i="175"/>
  <c r="BX92" i="175"/>
  <c r="BR92" i="175" s="1"/>
  <c r="BV148" i="175"/>
  <c r="BV155" i="175"/>
  <c r="BR155" i="175" s="1"/>
  <c r="AV164" i="175"/>
  <c r="AU164" i="175" s="1"/>
  <c r="BQ164" i="175" s="1"/>
  <c r="AU9" i="175"/>
  <c r="BQ9" i="175" s="1"/>
  <c r="AV13" i="175"/>
  <c r="AU13" i="175" s="1"/>
  <c r="BQ13" i="175" s="1"/>
  <c r="BX13" i="175"/>
  <c r="BR13" i="175" s="1"/>
  <c r="CM25" i="175"/>
  <c r="DI25" i="175" s="1"/>
  <c r="H25" i="175"/>
  <c r="I25" i="175" s="1"/>
  <c r="CM54" i="175"/>
  <c r="DI54" i="175" s="1"/>
  <c r="H54" i="175"/>
  <c r="I54" i="175" s="1"/>
  <c r="Y147" i="175"/>
  <c r="DN147" i="175"/>
  <c r="BV147" i="175"/>
  <c r="CM7" i="175"/>
  <c r="DI7" i="175" s="1"/>
  <c r="DY204" i="175"/>
  <c r="DY104" i="175"/>
  <c r="CM131" i="175"/>
  <c r="DI131" i="175" s="1"/>
  <c r="H131" i="175"/>
  <c r="I131" i="175" s="1"/>
  <c r="AU5" i="175"/>
  <c r="BQ5" i="175" s="1"/>
  <c r="DH201" i="175"/>
  <c r="CT17" i="175"/>
  <c r="AF201" i="175"/>
  <c r="AF205" i="175" s="1"/>
  <c r="AF207" i="175" s="1"/>
  <c r="BY18" i="175"/>
  <c r="BR18" i="175" s="1"/>
  <c r="DM202" i="175"/>
  <c r="BX57" i="175"/>
  <c r="BR57" i="175" s="1"/>
  <c r="AV57" i="175"/>
  <c r="AU57" i="175" s="1"/>
  <c r="BQ57" i="175" s="1"/>
  <c r="AV64" i="175"/>
  <c r="AU64" i="175" s="1"/>
  <c r="BQ64" i="175" s="1"/>
  <c r="CG64" i="175"/>
  <c r="BR64" i="175" s="1"/>
  <c r="AU142" i="175"/>
  <c r="BQ142" i="175" s="1"/>
  <c r="DN203" i="175"/>
  <c r="I11" i="175"/>
  <c r="BR12" i="175"/>
  <c r="DW201" i="175"/>
  <c r="H27" i="175"/>
  <c r="CJ202" i="175"/>
  <c r="CJ67" i="175"/>
  <c r="AU55" i="175"/>
  <c r="BQ55" i="175" s="1"/>
  <c r="DY62" i="175"/>
  <c r="DJ62" i="175" s="1"/>
  <c r="CN62" i="175"/>
  <c r="BR81" i="175"/>
  <c r="CE206" i="175"/>
  <c r="CE129" i="175"/>
  <c r="CM5" i="175"/>
  <c r="DI5" i="175" s="1"/>
  <c r="H5" i="175"/>
  <c r="I5" i="175" s="1"/>
  <c r="BR44" i="175"/>
  <c r="I39" i="175"/>
  <c r="H84" i="175"/>
  <c r="BS104" i="175"/>
  <c r="CN13" i="175"/>
  <c r="BR16" i="175"/>
  <c r="CD201" i="175"/>
  <c r="AA201" i="175"/>
  <c r="AA34" i="175"/>
  <c r="AA197" i="175" s="1"/>
  <c r="BT19" i="175"/>
  <c r="BR19" i="175" s="1"/>
  <c r="I20" i="175"/>
  <c r="BR25" i="175"/>
  <c r="DJ29" i="175"/>
  <c r="CN31" i="175"/>
  <c r="H33" i="175"/>
  <c r="I33" i="175" s="1"/>
  <c r="CM33" i="175"/>
  <c r="DI33" i="175" s="1"/>
  <c r="AF34" i="175"/>
  <c r="CJ34" i="175"/>
  <c r="DH202" i="175"/>
  <c r="CN46" i="175"/>
  <c r="ED46" i="175"/>
  <c r="DJ46" i="175" s="1"/>
  <c r="AV49" i="175"/>
  <c r="AU49" i="175" s="1"/>
  <c r="BQ49" i="175" s="1"/>
  <c r="BU49" i="175"/>
  <c r="BU67" i="175" s="1"/>
  <c r="BU197" i="175" s="1"/>
  <c r="CM77" i="175"/>
  <c r="DI77" i="175" s="1"/>
  <c r="H77" i="175"/>
  <c r="I77" i="175" s="1"/>
  <c r="CM78" i="175"/>
  <c r="DI78" i="175" s="1"/>
  <c r="DV104" i="175"/>
  <c r="CF128" i="175"/>
  <c r="AV128" i="175"/>
  <c r="AU128" i="175" s="1"/>
  <c r="BQ128" i="175" s="1"/>
  <c r="DH200" i="175"/>
  <c r="DH195" i="175"/>
  <c r="CN164" i="175"/>
  <c r="CD202" i="175"/>
  <c r="CD67" i="175"/>
  <c r="CN48" i="175"/>
  <c r="DQ48" i="175"/>
  <c r="I59" i="175"/>
  <c r="CM59" i="175"/>
  <c r="DI59" i="175" s="1"/>
  <c r="DN204" i="175"/>
  <c r="DJ68" i="175"/>
  <c r="DQ91" i="175"/>
  <c r="DJ91" i="175" s="1"/>
  <c r="CN91" i="175"/>
  <c r="DN158" i="175"/>
  <c r="CN158" i="175"/>
  <c r="DT34" i="175"/>
  <c r="AU4" i="175"/>
  <c r="BQ4" i="175" s="1"/>
  <c r="Y9" i="175"/>
  <c r="I9" i="175" s="1"/>
  <c r="CF9" i="175"/>
  <c r="DL201" i="175"/>
  <c r="Y153" i="175"/>
  <c r="BV153" i="175"/>
  <c r="DN153" i="175"/>
  <c r="DJ153" i="175" s="1"/>
  <c r="CB203" i="175"/>
  <c r="CB34" i="175"/>
  <c r="BR4" i="175"/>
  <c r="CC203" i="175"/>
  <c r="CC34" i="175"/>
  <c r="CL203" i="175"/>
  <c r="DJ6" i="175"/>
  <c r="BT34" i="175"/>
  <c r="DX9" i="175"/>
  <c r="DJ9" i="175" s="1"/>
  <c r="AS203" i="175"/>
  <c r="AS34" i="175"/>
  <c r="AS197" i="175" s="1"/>
  <c r="CL10" i="175"/>
  <c r="BB201" i="175"/>
  <c r="AV17" i="175"/>
  <c r="AU17" i="175" s="1"/>
  <c r="BQ17" i="175" s="1"/>
  <c r="BX17" i="175"/>
  <c r="DJ27" i="175"/>
  <c r="BR29" i="175"/>
  <c r="CM32" i="175"/>
  <c r="DI32" i="175" s="1"/>
  <c r="H32" i="175"/>
  <c r="I32" i="175" s="1"/>
  <c r="DS202" i="175"/>
  <c r="DS67" i="175"/>
  <c r="ED61" i="175"/>
  <c r="DJ61" i="175" s="1"/>
  <c r="CL61" i="175"/>
  <c r="BR61" i="175" s="1"/>
  <c r="Y61" i="175"/>
  <c r="CR195" i="175"/>
  <c r="BV180" i="175"/>
  <c r="BR180" i="175" s="1"/>
  <c r="Y180" i="175"/>
  <c r="DN180" i="175"/>
  <c r="DJ180" i="175" s="1"/>
  <c r="CB202" i="175"/>
  <c r="CB67" i="175"/>
  <c r="Y159" i="175"/>
  <c r="DN159" i="175"/>
  <c r="DJ159" i="175" s="1"/>
  <c r="BV159" i="175"/>
  <c r="BR159" i="175" s="1"/>
  <c r="AV31" i="175"/>
  <c r="AU31" i="175" s="1"/>
  <c r="BQ31" i="175" s="1"/>
  <c r="CF31" i="175"/>
  <c r="BR31" i="175" s="1"/>
  <c r="I37" i="175"/>
  <c r="CM37" i="175"/>
  <c r="DI37" i="175" s="1"/>
  <c r="H90" i="175"/>
  <c r="I90" i="175" s="1"/>
  <c r="CM90" i="175"/>
  <c r="DI90" i="175" s="1"/>
  <c r="BX131" i="175"/>
  <c r="AV131" i="175"/>
  <c r="AU131" i="175" s="1"/>
  <c r="BQ131" i="175" s="1"/>
  <c r="BR154" i="175"/>
  <c r="BR5" i="175"/>
  <c r="AM34" i="175"/>
  <c r="AM197" i="175" s="1"/>
  <c r="I47" i="175"/>
  <c r="CM47" i="175"/>
  <c r="DI47" i="175" s="1"/>
  <c r="DN58" i="175"/>
  <c r="DN67" i="175" s="1"/>
  <c r="CN58" i="175"/>
  <c r="CL66" i="175"/>
  <c r="Y66" i="175"/>
  <c r="ED66" i="175"/>
  <c r="DJ66" i="175" s="1"/>
  <c r="I85" i="175"/>
  <c r="CM85" i="175"/>
  <c r="DI85" i="175" s="1"/>
  <c r="CM4" i="175"/>
  <c r="DI4" i="175" s="1"/>
  <c r="H4" i="175"/>
  <c r="I4" i="175" s="1"/>
  <c r="DS34" i="175"/>
  <c r="H7" i="175"/>
  <c r="I7" i="175" s="1"/>
  <c r="BR8" i="175"/>
  <c r="BR9" i="175"/>
  <c r="AU10" i="175"/>
  <c r="BQ10" i="175" s="1"/>
  <c r="CM10" i="175"/>
  <c r="DI10" i="175" s="1"/>
  <c r="H10" i="175"/>
  <c r="I10" i="175" s="1"/>
  <c r="DJ14" i="175"/>
  <c r="BP201" i="175"/>
  <c r="CL17" i="175"/>
  <c r="BR22" i="175"/>
  <c r="CM22" i="175"/>
  <c r="DI22" i="175" s="1"/>
  <c r="AV24" i="175"/>
  <c r="AU24" i="175" s="1"/>
  <c r="BQ24" i="175" s="1"/>
  <c r="BX24" i="175"/>
  <c r="BR24" i="175" s="1"/>
  <c r="CM39" i="175"/>
  <c r="DI39" i="175" s="1"/>
  <c r="H41" i="175"/>
  <c r="BT45" i="175"/>
  <c r="DL45" i="175"/>
  <c r="CR67" i="175"/>
  <c r="CR197" i="175" s="1"/>
  <c r="DH67" i="175"/>
  <c r="AU70" i="175"/>
  <c r="BQ70" i="175" s="1"/>
  <c r="CM74" i="175"/>
  <c r="DI74" i="175" s="1"/>
  <c r="H74" i="175"/>
  <c r="DP92" i="175"/>
  <c r="DJ92" i="175" s="1"/>
  <c r="CN92" i="175"/>
  <c r="DN178" i="175"/>
  <c r="DJ178" i="175" s="1"/>
  <c r="AC203" i="175"/>
  <c r="Y178" i="175"/>
  <c r="BV178" i="175"/>
  <c r="BR178" i="175" s="1"/>
  <c r="BB67" i="175"/>
  <c r="DV67" i="175"/>
  <c r="AO202" i="175"/>
  <c r="AO67" i="175"/>
  <c r="AO197" i="175" s="1"/>
  <c r="CH37" i="175"/>
  <c r="CH67" i="175" s="1"/>
  <c r="I41" i="175"/>
  <c r="H43" i="175"/>
  <c r="I43" i="175" s="1"/>
  <c r="CM43" i="175"/>
  <c r="DI43" i="175" s="1"/>
  <c r="Y44" i="175"/>
  <c r="BY44" i="175"/>
  <c r="DQ44" i="175"/>
  <c r="DJ44" i="175" s="1"/>
  <c r="BY45" i="175"/>
  <c r="BY202" i="175" s="1"/>
  <c r="DQ45" i="175"/>
  <c r="BT48" i="175"/>
  <c r="Y48" i="175"/>
  <c r="CV202" i="175"/>
  <c r="CV205" i="175" s="1"/>
  <c r="CV207" i="175" s="1"/>
  <c r="CV67" i="175"/>
  <c r="CV197" i="175" s="1"/>
  <c r="DR48" i="175"/>
  <c r="BR49" i="175"/>
  <c r="DL54" i="175"/>
  <c r="DJ54" i="175" s="1"/>
  <c r="AL202" i="175"/>
  <c r="AL205" i="175" s="1"/>
  <c r="AL207" i="175" s="1"/>
  <c r="Y55" i="175"/>
  <c r="AL67" i="175"/>
  <c r="CE55" i="175"/>
  <c r="BR55" i="175" s="1"/>
  <c r="DW55" i="175"/>
  <c r="AV58" i="175"/>
  <c r="BV58" i="175"/>
  <c r="BR58" i="175" s="1"/>
  <c r="BT204" i="175"/>
  <c r="CE204" i="175"/>
  <c r="DZ204" i="175"/>
  <c r="DZ104" i="175"/>
  <c r="DP97" i="175"/>
  <c r="BX97" i="175"/>
  <c r="BR97" i="175" s="1"/>
  <c r="Y97" i="175"/>
  <c r="BT104" i="175"/>
  <c r="H110" i="175"/>
  <c r="I110" i="175" s="1"/>
  <c r="CM110" i="175"/>
  <c r="DI110" i="175" s="1"/>
  <c r="AU112" i="175"/>
  <c r="BQ112" i="175" s="1"/>
  <c r="Y118" i="175"/>
  <c r="CL118" i="175"/>
  <c r="BR118" i="175" s="1"/>
  <c r="Y156" i="175"/>
  <c r="DN156" i="175"/>
  <c r="DJ156" i="175" s="1"/>
  <c r="BV156" i="175"/>
  <c r="BR156" i="175" s="1"/>
  <c r="BT203" i="175"/>
  <c r="CE203" i="175"/>
  <c r="CE34" i="175"/>
  <c r="DB203" i="175"/>
  <c r="DQ203" i="175"/>
  <c r="EA203" i="175"/>
  <c r="DX8" i="175"/>
  <c r="DJ8" i="175" s="1"/>
  <c r="Y8" i="175"/>
  <c r="CM9" i="175"/>
  <c r="DI9" i="175" s="1"/>
  <c r="DJ13" i="175"/>
  <c r="DY201" i="175"/>
  <c r="DJ20" i="175"/>
  <c r="BY21" i="175"/>
  <c r="BY201" i="175" s="1"/>
  <c r="DQ21" i="175"/>
  <c r="DJ21" i="175" s="1"/>
  <c r="BL203" i="175"/>
  <c r="CH22" i="175"/>
  <c r="DY32" i="175"/>
  <c r="DJ32" i="175" s="1"/>
  <c r="CF33" i="175"/>
  <c r="AV33" i="175"/>
  <c r="AU33" i="175" s="1"/>
  <c r="BQ33" i="175" s="1"/>
  <c r="AH197" i="175"/>
  <c r="BX37" i="175"/>
  <c r="DC202" i="175"/>
  <c r="DC67" i="175"/>
  <c r="BX41" i="175"/>
  <c r="BR41" i="175" s="1"/>
  <c r="AU45" i="175"/>
  <c r="BQ45" i="175" s="1"/>
  <c r="CG48" i="175"/>
  <c r="DY50" i="175"/>
  <c r="Y50" i="175"/>
  <c r="CN53" i="175"/>
  <c r="ED53" i="175"/>
  <c r="DJ53" i="175" s="1"/>
  <c r="CM55" i="175"/>
  <c r="DI55" i="175" s="1"/>
  <c r="H55" i="175"/>
  <c r="AV56" i="175"/>
  <c r="AU56" i="175" s="1"/>
  <c r="BQ56" i="175" s="1"/>
  <c r="BX56" i="175"/>
  <c r="BR56" i="175" s="1"/>
  <c r="CM60" i="175"/>
  <c r="DI60" i="175" s="1"/>
  <c r="H60" i="175"/>
  <c r="I60" i="175" s="1"/>
  <c r="H66" i="175"/>
  <c r="BV104" i="175"/>
  <c r="EA204" i="175"/>
  <c r="EA104" i="175"/>
  <c r="CM71" i="175"/>
  <c r="DI71" i="175" s="1"/>
  <c r="AU72" i="175"/>
  <c r="BQ72" i="175" s="1"/>
  <c r="BR77" i="175"/>
  <c r="BX93" i="175"/>
  <c r="BR93" i="175" s="1"/>
  <c r="DJ95" i="175"/>
  <c r="DJ97" i="175"/>
  <c r="AV98" i="175"/>
  <c r="AU98" i="175" s="1"/>
  <c r="BQ98" i="175" s="1"/>
  <c r="Y99" i="175"/>
  <c r="DY99" i="175"/>
  <c r="DJ99" i="175" s="1"/>
  <c r="BV101" i="175"/>
  <c r="DN101" i="175"/>
  <c r="DJ101" i="175" s="1"/>
  <c r="Y101" i="175"/>
  <c r="BJ206" i="175"/>
  <c r="AV111" i="175"/>
  <c r="AU111" i="175" s="1"/>
  <c r="BQ111" i="175" s="1"/>
  <c r="CF111" i="175"/>
  <c r="BR111" i="175" s="1"/>
  <c r="BR122" i="175"/>
  <c r="CM122" i="175"/>
  <c r="DI122" i="175" s="1"/>
  <c r="DJ126" i="175"/>
  <c r="DJ127" i="175"/>
  <c r="BJ129" i="175"/>
  <c r="Y140" i="175"/>
  <c r="DN140" i="175"/>
  <c r="DJ140" i="175" s="1"/>
  <c r="BV140" i="175"/>
  <c r="BR140" i="175" s="1"/>
  <c r="AU156" i="175"/>
  <c r="BQ156" i="175" s="1"/>
  <c r="CM159" i="175"/>
  <c r="DI159" i="175" s="1"/>
  <c r="H159" i="175"/>
  <c r="DM200" i="175"/>
  <c r="DM195" i="175"/>
  <c r="AA202" i="175"/>
  <c r="DL35" i="175"/>
  <c r="Y35" i="175"/>
  <c r="BT35" i="175"/>
  <c r="CT202" i="175"/>
  <c r="CT67" i="175"/>
  <c r="AU36" i="175"/>
  <c r="BQ36" i="175" s="1"/>
  <c r="CM36" i="175"/>
  <c r="DI36" i="175" s="1"/>
  <c r="DZ37" i="175"/>
  <c r="DJ37" i="175" s="1"/>
  <c r="AU43" i="175"/>
  <c r="BQ43" i="175" s="1"/>
  <c r="AY202" i="175"/>
  <c r="AY205" i="175" s="1"/>
  <c r="AY207" i="175" s="1"/>
  <c r="AY67" i="175"/>
  <c r="AY197" i="175" s="1"/>
  <c r="BU47" i="175"/>
  <c r="CL73" i="175"/>
  <c r="BR73" i="175" s="1"/>
  <c r="Y73" i="175"/>
  <c r="ED73" i="175"/>
  <c r="DJ73" i="175" s="1"/>
  <c r="BR78" i="175"/>
  <c r="H112" i="175"/>
  <c r="I112" i="175" s="1"/>
  <c r="CM112" i="175"/>
  <c r="DI112" i="175" s="1"/>
  <c r="H147" i="175"/>
  <c r="CM147" i="175"/>
  <c r="DI147" i="175" s="1"/>
  <c r="EA201" i="175"/>
  <c r="AU19" i="175"/>
  <c r="BQ19" i="175" s="1"/>
  <c r="I26" i="175"/>
  <c r="AU28" i="175"/>
  <c r="BQ28" i="175" s="1"/>
  <c r="BR33" i="175"/>
  <c r="BO197" i="175"/>
  <c r="AC202" i="175"/>
  <c r="BV35" i="175"/>
  <c r="AC67" i="175"/>
  <c r="BS202" i="175"/>
  <c r="BS67" i="175"/>
  <c r="BL202" i="175"/>
  <c r="BL67" i="175"/>
  <c r="AU39" i="175"/>
  <c r="BQ39" i="175" s="1"/>
  <c r="BR40" i="175"/>
  <c r="DJ40" i="175"/>
  <c r="BJ202" i="175"/>
  <c r="BJ67" i="175"/>
  <c r="I49" i="175"/>
  <c r="CM49" i="175"/>
  <c r="DI49" i="175" s="1"/>
  <c r="AU52" i="175"/>
  <c r="BQ52" i="175" s="1"/>
  <c r="Y65" i="175"/>
  <c r="DZ65" i="175"/>
  <c r="DJ65" i="175" s="1"/>
  <c r="AA67" i="175"/>
  <c r="BP67" i="175"/>
  <c r="DT204" i="175"/>
  <c r="DT104" i="175"/>
  <c r="CN72" i="175"/>
  <c r="ED72" i="175"/>
  <c r="DJ72" i="175" s="1"/>
  <c r="H73" i="175"/>
  <c r="CM73" i="175"/>
  <c r="DI73" i="175" s="1"/>
  <c r="CM82" i="175"/>
  <c r="DI82" i="175" s="1"/>
  <c r="H82" i="175"/>
  <c r="I82" i="175" s="1"/>
  <c r="AL204" i="175"/>
  <c r="Y87" i="175"/>
  <c r="CE87" i="175"/>
  <c r="CE104" i="175" s="1"/>
  <c r="DW87" i="175"/>
  <c r="DW104" i="175" s="1"/>
  <c r="DA204" i="175"/>
  <c r="DA104" i="175"/>
  <c r="DA197" i="175" s="1"/>
  <c r="CN87" i="175"/>
  <c r="BB104" i="175"/>
  <c r="CN107" i="175"/>
  <c r="AV108" i="175"/>
  <c r="AU108" i="175" s="1"/>
  <c r="BQ108" i="175" s="1"/>
  <c r="CI108" i="175"/>
  <c r="BR108" i="175" s="1"/>
  <c r="AV122" i="175"/>
  <c r="AU122" i="175" s="1"/>
  <c r="BQ122" i="175" s="1"/>
  <c r="CA199" i="175"/>
  <c r="CI204" i="175"/>
  <c r="CI199" i="175"/>
  <c r="DS199" i="175"/>
  <c r="EB199" i="175"/>
  <c r="H140" i="175"/>
  <c r="CM140" i="175"/>
  <c r="DI140" i="175" s="1"/>
  <c r="BP199" i="175"/>
  <c r="BP195" i="175"/>
  <c r="CL150" i="175"/>
  <c r="BR150" i="175" s="1"/>
  <c r="AV150" i="175"/>
  <c r="AU150" i="175" s="1"/>
  <c r="BQ150" i="175" s="1"/>
  <c r="EC200" i="175"/>
  <c r="CQ202" i="175"/>
  <c r="CQ205" i="175" s="1"/>
  <c r="CQ207" i="175" s="1"/>
  <c r="CQ67" i="175"/>
  <c r="CQ197" i="175" s="1"/>
  <c r="DS203" i="175"/>
  <c r="EB203" i="175"/>
  <c r="AM203" i="175"/>
  <c r="AM205" i="175" s="1"/>
  <c r="AM207" i="175" s="1"/>
  <c r="DX7" i="175"/>
  <c r="DJ7" i="175" s="1"/>
  <c r="DP12" i="175"/>
  <c r="DJ12" i="175" s="1"/>
  <c r="CN12" i="175"/>
  <c r="I14" i="175"/>
  <c r="CM14" i="175"/>
  <c r="DI14" i="175" s="1"/>
  <c r="Y201" i="175"/>
  <c r="BT201" i="175"/>
  <c r="H19" i="175"/>
  <c r="I19" i="175" s="1"/>
  <c r="CM19" i="175"/>
  <c r="DI19" i="175" s="1"/>
  <c r="BR20" i="175"/>
  <c r="CM28" i="175"/>
  <c r="DI28" i="175" s="1"/>
  <c r="H28" i="175"/>
  <c r="DJ31" i="175"/>
  <c r="CC67" i="175"/>
  <c r="AN202" i="175"/>
  <c r="DY39" i="175"/>
  <c r="AN67" i="175"/>
  <c r="AN197" i="175" s="1"/>
  <c r="CG39" i="175"/>
  <c r="BR39" i="175" s="1"/>
  <c r="DJ43" i="175"/>
  <c r="BR66" i="175"/>
  <c r="AZ67" i="175"/>
  <c r="DL83" i="175"/>
  <c r="BT83" i="175"/>
  <c r="BR83" i="175" s="1"/>
  <c r="Y83" i="175"/>
  <c r="AU83" i="175" s="1"/>
  <c r="BQ83" i="175" s="1"/>
  <c r="AA104" i="175"/>
  <c r="DN137" i="175"/>
  <c r="DJ137" i="175" s="1"/>
  <c r="BV137" i="175"/>
  <c r="BR137" i="175" s="1"/>
  <c r="Y137" i="175"/>
  <c r="I137" i="175" s="1"/>
  <c r="BR138" i="175"/>
  <c r="DT203" i="175"/>
  <c r="ED203" i="175"/>
  <c r="AU7" i="175"/>
  <c r="BQ7" i="175" s="1"/>
  <c r="AU14" i="175"/>
  <c r="BQ14" i="175" s="1"/>
  <c r="BY203" i="175"/>
  <c r="CH34" i="175"/>
  <c r="DK203" i="175"/>
  <c r="DV203" i="175"/>
  <c r="CM6" i="175"/>
  <c r="DI6" i="175" s="1"/>
  <c r="CM11" i="175"/>
  <c r="DI11" i="175" s="1"/>
  <c r="I16" i="175"/>
  <c r="AS201" i="175"/>
  <c r="ED17" i="175"/>
  <c r="AU23" i="175"/>
  <c r="CN30" i="175"/>
  <c r="DX30" i="175"/>
  <c r="DJ30" i="175" s="1"/>
  <c r="BF197" i="175"/>
  <c r="BP34" i="175"/>
  <c r="DV34" i="175"/>
  <c r="AE202" i="175"/>
  <c r="BX35" i="175"/>
  <c r="AE67" i="175"/>
  <c r="AE197" i="175" s="1"/>
  <c r="DN202" i="175"/>
  <c r="BX42" i="175"/>
  <c r="BR42" i="175" s="1"/>
  <c r="DP42" i="175"/>
  <c r="DJ42" i="175" s="1"/>
  <c r="BC202" i="175"/>
  <c r="BC67" i="175"/>
  <c r="CM56" i="175"/>
  <c r="DI56" i="175" s="1"/>
  <c r="H56" i="175"/>
  <c r="I56" i="175" s="1"/>
  <c r="CL59" i="175"/>
  <c r="BR59" i="175" s="1"/>
  <c r="BR60" i="175"/>
  <c r="DD67" i="175"/>
  <c r="CA204" i="175"/>
  <c r="CA104" i="175"/>
  <c r="CI203" i="175"/>
  <c r="CI104" i="175"/>
  <c r="CC104" i="175"/>
  <c r="BC104" i="175"/>
  <c r="DJ78" i="175"/>
  <c r="H89" i="175"/>
  <c r="I89" i="175" s="1"/>
  <c r="CR204" i="175"/>
  <c r="DN90" i="175"/>
  <c r="DJ90" i="175" s="1"/>
  <c r="CR104" i="175"/>
  <c r="DP98" i="175"/>
  <c r="DJ98" i="175" s="1"/>
  <c r="BR143" i="175"/>
  <c r="I174" i="175"/>
  <c r="CM174" i="175"/>
  <c r="DI174" i="175" s="1"/>
  <c r="AU174" i="175"/>
  <c r="BQ174" i="175" s="1"/>
  <c r="BE205" i="175"/>
  <c r="BE207" i="175" s="1"/>
  <c r="DK201" i="175"/>
  <c r="Y34" i="175"/>
  <c r="DQ19" i="175"/>
  <c r="I21" i="175"/>
  <c r="BJ203" i="175"/>
  <c r="BJ34" i="175"/>
  <c r="CA203" i="175"/>
  <c r="CA34" i="175"/>
  <c r="CI202" i="175"/>
  <c r="CI34" i="175"/>
  <c r="DL203" i="175"/>
  <c r="DL34" i="175"/>
  <c r="DW203" i="175"/>
  <c r="DW34" i="175"/>
  <c r="BR10" i="175"/>
  <c r="DH203" i="175"/>
  <c r="DH34" i="175"/>
  <c r="BB203" i="175"/>
  <c r="BB34" i="175"/>
  <c r="AV11" i="175"/>
  <c r="AU11" i="175" s="1"/>
  <c r="BQ11" i="175" s="1"/>
  <c r="I22" i="175"/>
  <c r="DZ23" i="175"/>
  <c r="DJ23" i="175" s="1"/>
  <c r="CN23" i="175"/>
  <c r="AD197" i="175"/>
  <c r="AL197" i="175"/>
  <c r="DP35" i="175"/>
  <c r="BR36" i="175"/>
  <c r="BR43" i="175"/>
  <c r="DL48" i="175"/>
  <c r="CN57" i="175"/>
  <c r="DP57" i="175"/>
  <c r="DJ57" i="175" s="1"/>
  <c r="AU59" i="175"/>
  <c r="BQ59" i="175" s="1"/>
  <c r="CM61" i="175"/>
  <c r="DI61" i="175" s="1"/>
  <c r="I63" i="175"/>
  <c r="AU63" i="175"/>
  <c r="BQ63" i="175" s="1"/>
  <c r="ED64" i="175"/>
  <c r="CL64" i="175"/>
  <c r="CN64" i="175"/>
  <c r="DY64" i="175"/>
  <c r="DJ64" i="175" s="1"/>
  <c r="AU68" i="175"/>
  <c r="BQ68" i="175" s="1"/>
  <c r="BR72" i="175"/>
  <c r="H76" i="175"/>
  <c r="I76" i="175" s="1"/>
  <c r="CM76" i="175"/>
  <c r="DI76" i="175" s="1"/>
  <c r="CM80" i="175"/>
  <c r="DI80" i="175" s="1"/>
  <c r="I80" i="175"/>
  <c r="BR82" i="175"/>
  <c r="H98" i="175"/>
  <c r="I98" i="175" s="1"/>
  <c r="BR102" i="175"/>
  <c r="CI195" i="175"/>
  <c r="DV195" i="175"/>
  <c r="CC199" i="175"/>
  <c r="CR199" i="175"/>
  <c r="CN134" i="175"/>
  <c r="DN134" i="175"/>
  <c r="DJ134" i="175" s="1"/>
  <c r="AC200" i="175"/>
  <c r="Y152" i="175"/>
  <c r="DN152" i="175"/>
  <c r="BS203" i="175"/>
  <c r="CD203" i="175"/>
  <c r="DO203" i="175"/>
  <c r="CE201" i="175"/>
  <c r="DD203" i="175"/>
  <c r="DZ22" i="175"/>
  <c r="DD34" i="175"/>
  <c r="EC197" i="175"/>
  <c r="AF202" i="175"/>
  <c r="CR202" i="175"/>
  <c r="DQ35" i="175"/>
  <c r="EA67" i="175"/>
  <c r="EA202" i="175"/>
  <c r="BX38" i="175"/>
  <c r="BR38" i="175" s="1"/>
  <c r="CU202" i="175"/>
  <c r="CU67" i="175"/>
  <c r="AS202" i="175"/>
  <c r="DX47" i="175"/>
  <c r="DJ47" i="175" s="1"/>
  <c r="BZ48" i="175"/>
  <c r="AV54" i="175"/>
  <c r="AU54" i="175" s="1"/>
  <c r="BQ54" i="175" s="1"/>
  <c r="Y58" i="175"/>
  <c r="CP67" i="175"/>
  <c r="CP197" i="175" s="1"/>
  <c r="AS104" i="175"/>
  <c r="CH204" i="175"/>
  <c r="CH104" i="175"/>
  <c r="DJ74" i="175"/>
  <c r="AU85" i="175"/>
  <c r="BQ85" i="175" s="1"/>
  <c r="CL85" i="175"/>
  <c r="BR85" i="175" s="1"/>
  <c r="AU87" i="175"/>
  <c r="BQ87" i="175" s="1"/>
  <c r="CM93" i="175"/>
  <c r="DI93" i="175" s="1"/>
  <c r="DJ94" i="175"/>
  <c r="DL96" i="175"/>
  <c r="Y96" i="175"/>
  <c r="BT96" i="175"/>
  <c r="BR96" i="175" s="1"/>
  <c r="BR98" i="175"/>
  <c r="BK104" i="175"/>
  <c r="BT206" i="175"/>
  <c r="BT129" i="175"/>
  <c r="CH206" i="175"/>
  <c r="DP206" i="175"/>
  <c r="DP129" i="175"/>
  <c r="CC195" i="175"/>
  <c r="DW195" i="175"/>
  <c r="DJ136" i="175"/>
  <c r="BR141" i="175"/>
  <c r="CR200" i="175"/>
  <c r="CN152" i="175"/>
  <c r="BV158" i="175"/>
  <c r="CL172" i="175"/>
  <c r="BR172" i="175" s="1"/>
  <c r="ED172" i="175"/>
  <c r="DJ172" i="175" s="1"/>
  <c r="I175" i="175"/>
  <c r="AU175" i="175"/>
  <c r="BQ175" i="175" s="1"/>
  <c r="BR185" i="175"/>
  <c r="BV194" i="175"/>
  <c r="BR194" i="175" s="1"/>
  <c r="Y194" i="175"/>
  <c r="DN194" i="175"/>
  <c r="DJ194" i="175" s="1"/>
  <c r="AN203" i="175"/>
  <c r="DY16" i="175"/>
  <c r="DJ16" i="175" s="1"/>
  <c r="AN201" i="175"/>
  <c r="BS201" i="175"/>
  <c r="CG17" i="175"/>
  <c r="CG201" i="175" s="1"/>
  <c r="DS201" i="175"/>
  <c r="EB201" i="175"/>
  <c r="AV18" i="175"/>
  <c r="AU18" i="175" s="1"/>
  <c r="BQ18" i="175" s="1"/>
  <c r="BK203" i="175"/>
  <c r="CN24" i="175"/>
  <c r="AV25" i="175"/>
  <c r="AU25" i="175" s="1"/>
  <c r="BQ25" i="175" s="1"/>
  <c r="Y27" i="175"/>
  <c r="Y28" i="175"/>
  <c r="I28" i="175" s="1"/>
  <c r="AI197" i="175"/>
  <c r="AQ197" i="175"/>
  <c r="BI197" i="175"/>
  <c r="CX197" i="175"/>
  <c r="DO34" i="175"/>
  <c r="DT202" i="175"/>
  <c r="H42" i="175"/>
  <c r="I42" i="175" s="1"/>
  <c r="DP48" i="175"/>
  <c r="BX48" i="175"/>
  <c r="CM52" i="175"/>
  <c r="DI52" i="175" s="1"/>
  <c r="CK202" i="175"/>
  <c r="CM63" i="175"/>
  <c r="DI63" i="175" s="1"/>
  <c r="BP204" i="175"/>
  <c r="BP104" i="175"/>
  <c r="CB204" i="175"/>
  <c r="CL68" i="175"/>
  <c r="AE204" i="175"/>
  <c r="Y69" i="175"/>
  <c r="AE104" i="175"/>
  <c r="BX69" i="175"/>
  <c r="BR69" i="175" s="1"/>
  <c r="AN204" i="175"/>
  <c r="AN104" i="175"/>
  <c r="CG71" i="175"/>
  <c r="CG104" i="175" s="1"/>
  <c r="I74" i="175"/>
  <c r="AU80" i="175"/>
  <c r="BQ80" i="175" s="1"/>
  <c r="I81" i="175"/>
  <c r="DP96" i="175"/>
  <c r="CN96" i="175"/>
  <c r="AU97" i="175"/>
  <c r="BQ97" i="175" s="1"/>
  <c r="ED103" i="175"/>
  <c r="DJ103" i="175" s="1"/>
  <c r="CB104" i="175"/>
  <c r="Y129" i="175"/>
  <c r="I106" i="175"/>
  <c r="DS129" i="175"/>
  <c r="DJ107" i="175"/>
  <c r="CM108" i="175"/>
  <c r="DI108" i="175" s="1"/>
  <c r="H108" i="175"/>
  <c r="I108" i="175" s="1"/>
  <c r="AU114" i="175"/>
  <c r="BQ114" i="175" s="1"/>
  <c r="DX124" i="175"/>
  <c r="CN124" i="175"/>
  <c r="DX128" i="175"/>
  <c r="DJ128" i="175" s="1"/>
  <c r="CN128" i="175"/>
  <c r="BK129" i="175"/>
  <c r="DJ130" i="175"/>
  <c r="BR134" i="175"/>
  <c r="CK199" i="175"/>
  <c r="CK195" i="175"/>
  <c r="CK197" i="175" s="1"/>
  <c r="I141" i="175"/>
  <c r="BW200" i="175"/>
  <c r="CF200" i="175"/>
  <c r="DX200" i="175"/>
  <c r="CK200" i="175"/>
  <c r="H157" i="175"/>
  <c r="AU169" i="175"/>
  <c r="BQ169" i="175" s="1"/>
  <c r="DT201" i="175"/>
  <c r="AB197" i="175"/>
  <c r="AJ197" i="175"/>
  <c r="AR197" i="175"/>
  <c r="AZ202" i="175"/>
  <c r="CI67" i="175"/>
  <c r="DV202" i="175"/>
  <c r="CP202" i="175"/>
  <c r="CP205" i="175" s="1"/>
  <c r="CP207" i="175" s="1"/>
  <c r="DD202" i="175"/>
  <c r="BK202" i="175"/>
  <c r="BK67" i="175"/>
  <c r="BP202" i="175"/>
  <c r="DA202" i="175"/>
  <c r="DW52" i="175"/>
  <c r="DW202" i="175" s="1"/>
  <c r="DJ55" i="175"/>
  <c r="BX58" i="175"/>
  <c r="ED58" i="175"/>
  <c r="AF67" i="175"/>
  <c r="DF67" i="175"/>
  <c r="DF197" i="175" s="1"/>
  <c r="CM68" i="175"/>
  <c r="DI68" i="175" s="1"/>
  <c r="H68" i="175"/>
  <c r="BR75" i="175"/>
  <c r="CN75" i="175"/>
  <c r="DP75" i="175"/>
  <c r="DJ75" i="175" s="1"/>
  <c r="DJ79" i="175"/>
  <c r="ED82" i="175"/>
  <c r="DJ82" i="175" s="1"/>
  <c r="Y84" i="175"/>
  <c r="DL84" i="175"/>
  <c r="DL204" i="175" s="1"/>
  <c r="CL86" i="175"/>
  <c r="BR86" i="175" s="1"/>
  <c r="Y86" i="175"/>
  <c r="BA204" i="175"/>
  <c r="BA205" i="175" s="1"/>
  <c r="BA207" i="175" s="1"/>
  <c r="AV101" i="175"/>
  <c r="BW101" i="175"/>
  <c r="AU103" i="175"/>
  <c r="BQ103" i="175" s="1"/>
  <c r="CL103" i="175"/>
  <c r="BR103" i="175" s="1"/>
  <c r="CN118" i="175"/>
  <c r="DX118" i="175"/>
  <c r="CF195" i="175"/>
  <c r="BX199" i="175"/>
  <c r="DP199" i="175"/>
  <c r="DZ199" i="175"/>
  <c r="H142" i="175"/>
  <c r="AU147" i="175"/>
  <c r="BQ147" i="175" s="1"/>
  <c r="AN200" i="175"/>
  <c r="DY158" i="175"/>
  <c r="Y158" i="175"/>
  <c r="CG158" i="175"/>
  <c r="CG200" i="175" s="1"/>
  <c r="AV167" i="175"/>
  <c r="AU167" i="175" s="1"/>
  <c r="BQ167" i="175" s="1"/>
  <c r="BV167" i="175"/>
  <c r="BR167" i="175" s="1"/>
  <c r="DJ188" i="175"/>
  <c r="BS195" i="175"/>
  <c r="BV201" i="175"/>
  <c r="CI201" i="175"/>
  <c r="DV201" i="175"/>
  <c r="DC203" i="175"/>
  <c r="AK197" i="175"/>
  <c r="BC34" i="175"/>
  <c r="BC197" i="175" s="1"/>
  <c r="BK34" i="175"/>
  <c r="BS34" i="175"/>
  <c r="BB202" i="175"/>
  <c r="AX202" i="175"/>
  <c r="AX205" i="175" s="1"/>
  <c r="AX207" i="175" s="1"/>
  <c r="AX67" i="175"/>
  <c r="AX197" i="175" s="1"/>
  <c r="CC202" i="175"/>
  <c r="BN202" i="175"/>
  <c r="BN205" i="175" s="1"/>
  <c r="BN207" i="175" s="1"/>
  <c r="BN67" i="175"/>
  <c r="BN197" i="175" s="1"/>
  <c r="CL46" i="175"/>
  <c r="CF47" i="175"/>
  <c r="DB202" i="175"/>
  <c r="DB67" i="175"/>
  <c r="CF48" i="175"/>
  <c r="CL50" i="175"/>
  <c r="BR50" i="175" s="1"/>
  <c r="H52" i="175"/>
  <c r="I52" i="175" s="1"/>
  <c r="CL53" i="175"/>
  <c r="BR53" i="175" s="1"/>
  <c r="Y53" i="175"/>
  <c r="DJ56" i="175"/>
  <c r="CH64" i="175"/>
  <c r="Y64" i="175"/>
  <c r="BD67" i="175"/>
  <c r="BD197" i="175" s="1"/>
  <c r="BS204" i="175"/>
  <c r="BR68" i="175"/>
  <c r="CD204" i="175"/>
  <c r="H69" i="175"/>
  <c r="CM69" i="175"/>
  <c r="DI69" i="175" s="1"/>
  <c r="Y70" i="175"/>
  <c r="DP70" i="175"/>
  <c r="DJ70" i="175" s="1"/>
  <c r="BX70" i="175"/>
  <c r="BR70" i="175" s="1"/>
  <c r="DY71" i="175"/>
  <c r="DJ71" i="175" s="1"/>
  <c r="BC204" i="175"/>
  <c r="AV74" i="175"/>
  <c r="AU74" i="175" s="1"/>
  <c r="BQ74" i="175" s="1"/>
  <c r="DJ76" i="175"/>
  <c r="DQ78" i="175"/>
  <c r="DQ204" i="175" s="1"/>
  <c r="Y78" i="175"/>
  <c r="BY78" i="175"/>
  <c r="AU79" i="175"/>
  <c r="BQ79" i="175" s="1"/>
  <c r="AU82" i="175"/>
  <c r="BQ82" i="175" s="1"/>
  <c r="DQ84" i="175"/>
  <c r="BY84" i="175"/>
  <c r="BR84" i="175" s="1"/>
  <c r="AU86" i="175"/>
  <c r="BQ86" i="175" s="1"/>
  <c r="BR99" i="175"/>
  <c r="H103" i="175"/>
  <c r="I103" i="175" s="1"/>
  <c r="CM103" i="175"/>
  <c r="DI103" i="175" s="1"/>
  <c r="CD104" i="175"/>
  <c r="BM206" i="175"/>
  <c r="CI106" i="175"/>
  <c r="BM129" i="175"/>
  <c r="BM197" i="175" s="1"/>
  <c r="AV106" i="175"/>
  <c r="CD206" i="175"/>
  <c r="CD129" i="175"/>
  <c r="DV206" i="175"/>
  <c r="DV129" i="175"/>
  <c r="DT129" i="175"/>
  <c r="DH206" i="175"/>
  <c r="DH129" i="175"/>
  <c r="CN109" i="175"/>
  <c r="ED109" i="175"/>
  <c r="DJ109" i="175" s="1"/>
  <c r="BY199" i="175"/>
  <c r="CH199" i="175"/>
  <c r="EA199" i="175"/>
  <c r="BR133" i="175"/>
  <c r="AV139" i="175"/>
  <c r="AU139" i="175" s="1"/>
  <c r="BQ139" i="175" s="1"/>
  <c r="BV139" i="175"/>
  <c r="BR139" i="175" s="1"/>
  <c r="I151" i="175"/>
  <c r="AU158" i="175"/>
  <c r="BQ158" i="175" s="1"/>
  <c r="H162" i="175"/>
  <c r="CM169" i="175"/>
  <c r="DI169" i="175" s="1"/>
  <c r="H169" i="175"/>
  <c r="I171" i="175"/>
  <c r="CM171" i="175"/>
  <c r="DI171" i="175" s="1"/>
  <c r="H177" i="175"/>
  <c r="BR184" i="175"/>
  <c r="CM189" i="175"/>
  <c r="DI189" i="175" s="1"/>
  <c r="AU189" i="175"/>
  <c r="BQ189" i="175" s="1"/>
  <c r="DD201" i="175"/>
  <c r="CN192" i="175"/>
  <c r="Y206" i="175"/>
  <c r="CC204" i="175"/>
  <c r="DS204" i="175"/>
  <c r="EB204" i="175"/>
  <c r="BB204" i="175"/>
  <c r="ED77" i="175"/>
  <c r="DJ77" i="175" s="1"/>
  <c r="DM204" i="175"/>
  <c r="ED80" i="175"/>
  <c r="DJ80" i="175" s="1"/>
  <c r="AC204" i="175"/>
  <c r="AC104" i="175"/>
  <c r="DN129" i="175"/>
  <c r="DY129" i="175"/>
  <c r="BR110" i="175"/>
  <c r="BR112" i="175"/>
  <c r="DJ113" i="175"/>
  <c r="DB206" i="175"/>
  <c r="DX115" i="175"/>
  <c r="DJ115" i="175" s="1"/>
  <c r="I126" i="175"/>
  <c r="DB129" i="175"/>
  <c r="DX195" i="175"/>
  <c r="BV136" i="175"/>
  <c r="BR136" i="175" s="1"/>
  <c r="Y136" i="175"/>
  <c r="CM136" i="175" s="1"/>
  <c r="DI136" i="175" s="1"/>
  <c r="CJ199" i="175"/>
  <c r="CJ195" i="175"/>
  <c r="CM138" i="175"/>
  <c r="DI138" i="175" s="1"/>
  <c r="H138" i="175"/>
  <c r="BR142" i="175"/>
  <c r="AU145" i="175"/>
  <c r="BQ145" i="175" s="1"/>
  <c r="BH200" i="175"/>
  <c r="AV153" i="175"/>
  <c r="AU153" i="175" s="1"/>
  <c r="BQ153" i="175" s="1"/>
  <c r="CD153" i="175"/>
  <c r="DJ161" i="175"/>
  <c r="DN166" i="175"/>
  <c r="DJ166" i="175" s="1"/>
  <c r="BV166" i="175"/>
  <c r="BR166" i="175" s="1"/>
  <c r="Y166" i="175"/>
  <c r="DQ167" i="175"/>
  <c r="DJ167" i="175" s="1"/>
  <c r="BY167" i="175"/>
  <c r="DH204" i="175"/>
  <c r="DV204" i="175"/>
  <c r="CT204" i="175"/>
  <c r="CJ204" i="175"/>
  <c r="AF204" i="175"/>
  <c r="CU204" i="175"/>
  <c r="CT104" i="175"/>
  <c r="BV129" i="175"/>
  <c r="DQ206" i="175"/>
  <c r="DQ129" i="175"/>
  <c r="EA206" i="175"/>
  <c r="BR107" i="175"/>
  <c r="CG129" i="175"/>
  <c r="DJ108" i="175"/>
  <c r="BP206" i="175"/>
  <c r="AV109" i="175"/>
  <c r="AU109" i="175" s="1"/>
  <c r="BQ109" i="175" s="1"/>
  <c r="BP129" i="175"/>
  <c r="CA206" i="175"/>
  <c r="CO206" i="175"/>
  <c r="CO129" i="175"/>
  <c r="CO197" i="175" s="1"/>
  <c r="DK112" i="175"/>
  <c r="DJ112" i="175" s="1"/>
  <c r="DJ122" i="175"/>
  <c r="I132" i="175"/>
  <c r="CD199" i="175"/>
  <c r="I133" i="175"/>
  <c r="CM133" i="175"/>
  <c r="DI133" i="175" s="1"/>
  <c r="DN135" i="175"/>
  <c r="DJ135" i="175" s="1"/>
  <c r="BV135" i="175"/>
  <c r="BR135" i="175" s="1"/>
  <c r="CS199" i="175"/>
  <c r="CS205" i="175" s="1"/>
  <c r="CS207" i="175" s="1"/>
  <c r="CS195" i="175"/>
  <c r="CS197" i="175" s="1"/>
  <c r="I138" i="175"/>
  <c r="AU140" i="175"/>
  <c r="BQ140" i="175" s="1"/>
  <c r="BR145" i="175"/>
  <c r="AN195" i="175"/>
  <c r="AN199" i="175"/>
  <c r="DY147" i="175"/>
  <c r="CG147" i="175"/>
  <c r="BR147" i="175" s="1"/>
  <c r="BR148" i="175"/>
  <c r="BR149" i="175"/>
  <c r="CM150" i="175"/>
  <c r="DI150" i="175" s="1"/>
  <c r="H153" i="175"/>
  <c r="CM153" i="175"/>
  <c r="DI153" i="175" s="1"/>
  <c r="Y157" i="175"/>
  <c r="DN157" i="175"/>
  <c r="DJ157" i="175" s="1"/>
  <c r="BY163" i="175"/>
  <c r="BR163" i="175" s="1"/>
  <c r="CL165" i="175"/>
  <c r="BR165" i="175" s="1"/>
  <c r="AV165" i="175"/>
  <c r="AU165" i="175" s="1"/>
  <c r="BQ165" i="175" s="1"/>
  <c r="AU168" i="175"/>
  <c r="BQ168" i="175" s="1"/>
  <c r="BV170" i="175"/>
  <c r="AV170" i="175"/>
  <c r="AU170" i="175" s="1"/>
  <c r="BQ170" i="175" s="1"/>
  <c r="CM172" i="175"/>
  <c r="DI172" i="175" s="1"/>
  <c r="BR181" i="175"/>
  <c r="BI205" i="175"/>
  <c r="BI207" i="175" s="1"/>
  <c r="AS204" i="175"/>
  <c r="BV204" i="175"/>
  <c r="CF204" i="175"/>
  <c r="CF104" i="175"/>
  <c r="AF104" i="175"/>
  <c r="CJ104" i="175"/>
  <c r="CU104" i="175"/>
  <c r="DO104" i="175"/>
  <c r="BX206" i="175"/>
  <c r="BX129" i="175"/>
  <c r="CM106" i="175"/>
  <c r="DI106" i="175" s="1"/>
  <c r="DS206" i="175"/>
  <c r="EB206" i="175"/>
  <c r="CB206" i="175"/>
  <c r="CL109" i="175"/>
  <c r="BR109" i="175" s="1"/>
  <c r="CM114" i="175"/>
  <c r="DI114" i="175" s="1"/>
  <c r="I122" i="175"/>
  <c r="AV127" i="175"/>
  <c r="AU127" i="175" s="1"/>
  <c r="BQ127" i="175" s="1"/>
  <c r="BS129" i="175"/>
  <c r="BR131" i="175"/>
  <c r="DN199" i="175"/>
  <c r="DJ132" i="175"/>
  <c r="DX199" i="175"/>
  <c r="AD195" i="175"/>
  <c r="AD199" i="175"/>
  <c r="AD205" i="175" s="1"/>
  <c r="AD207" i="175" s="1"/>
  <c r="DO135" i="175"/>
  <c r="DO195" i="175" s="1"/>
  <c r="H137" i="175"/>
  <c r="CM137" i="175"/>
  <c r="DI137" i="175" s="1"/>
  <c r="I139" i="175"/>
  <c r="Y142" i="175"/>
  <c r="CM142" i="175" s="1"/>
  <c r="DI142" i="175" s="1"/>
  <c r="DN142" i="175"/>
  <c r="DJ142" i="175" s="1"/>
  <c r="DN143" i="175"/>
  <c r="DJ143" i="175" s="1"/>
  <c r="BV143" i="175"/>
  <c r="Y143" i="175"/>
  <c r="H146" i="175"/>
  <c r="I146" i="175" s="1"/>
  <c r="BR152" i="175"/>
  <c r="DS200" i="175"/>
  <c r="EB200" i="175"/>
  <c r="CM155" i="175"/>
  <c r="DI155" i="175" s="1"/>
  <c r="H155" i="175"/>
  <c r="I155" i="175" s="1"/>
  <c r="BY171" i="175"/>
  <c r="I173" i="175"/>
  <c r="BR183" i="175"/>
  <c r="DX204" i="175"/>
  <c r="DX104" i="175"/>
  <c r="DC204" i="175"/>
  <c r="BY74" i="175"/>
  <c r="BR74" i="175" s="1"/>
  <c r="AA204" i="175"/>
  <c r="BT78" i="175"/>
  <c r="BR88" i="175"/>
  <c r="I94" i="175"/>
  <c r="DP102" i="175"/>
  <c r="DJ102" i="175" s="1"/>
  <c r="BY129" i="175"/>
  <c r="DE206" i="175"/>
  <c r="DE207" i="175" s="1"/>
  <c r="DE129" i="175"/>
  <c r="DE197" i="175" s="1"/>
  <c r="CC206" i="175"/>
  <c r="DJ118" i="175"/>
  <c r="BR126" i="175"/>
  <c r="BB195" i="175"/>
  <c r="CA195" i="175"/>
  <c r="DS195" i="175"/>
  <c r="DJ131" i="175"/>
  <c r="AU135" i="175"/>
  <c r="BQ135" i="175" s="1"/>
  <c r="BR144" i="175"/>
  <c r="DJ146" i="175"/>
  <c r="DT200" i="175"/>
  <c r="Y154" i="175"/>
  <c r="BV154" i="175"/>
  <c r="CD161" i="175"/>
  <c r="CD200" i="175" s="1"/>
  <c r="AF195" i="175"/>
  <c r="DQ162" i="175"/>
  <c r="DQ195" i="175" s="1"/>
  <c r="BY162" i="175"/>
  <c r="BR162" i="175" s="1"/>
  <c r="Y162" i="175"/>
  <c r="AF200" i="175"/>
  <c r="CM165" i="175"/>
  <c r="DI165" i="175" s="1"/>
  <c r="CN168" i="175"/>
  <c r="DN168" i="175"/>
  <c r="DJ168" i="175" s="1"/>
  <c r="Y169" i="175"/>
  <c r="ED169" i="175"/>
  <c r="DJ169" i="175" s="1"/>
  <c r="BO200" i="175"/>
  <c r="BO205" i="175" s="1"/>
  <c r="BO207" i="175" s="1"/>
  <c r="AV173" i="175"/>
  <c r="AU173" i="175" s="1"/>
  <c r="BQ173" i="175" s="1"/>
  <c r="BO195" i="175"/>
  <c r="CH177" i="175"/>
  <c r="CH203" i="175" s="1"/>
  <c r="AV177" i="175"/>
  <c r="DJ189" i="175"/>
  <c r="DJ191" i="175"/>
  <c r="AU192" i="175"/>
  <c r="BQ192" i="175" s="1"/>
  <c r="Z205" i="175"/>
  <c r="Z207" i="175" s="1"/>
  <c r="BS206" i="175"/>
  <c r="DT206" i="175"/>
  <c r="ED206" i="175"/>
  <c r="DC206" i="175"/>
  <c r="ED129" i="175"/>
  <c r="CB195" i="175"/>
  <c r="DP130" i="175"/>
  <c r="CB199" i="175"/>
  <c r="DQ199" i="175"/>
  <c r="AZ199" i="175"/>
  <c r="AZ195" i="175"/>
  <c r="H148" i="175"/>
  <c r="H150" i="175"/>
  <c r="I150" i="175" s="1"/>
  <c r="CH200" i="175"/>
  <c r="DW200" i="175"/>
  <c r="DC195" i="175"/>
  <c r="ED164" i="175"/>
  <c r="DJ164" i="175" s="1"/>
  <c r="BV164" i="175"/>
  <c r="BR164" i="175" s="1"/>
  <c r="BV168" i="175"/>
  <c r="BR168" i="175" s="1"/>
  <c r="Y168" i="175"/>
  <c r="AU172" i="175"/>
  <c r="BQ172" i="175" s="1"/>
  <c r="H182" i="175"/>
  <c r="BX185" i="175"/>
  <c r="AV185" i="175"/>
  <c r="AU185" i="175" s="1"/>
  <c r="BQ185" i="175" s="1"/>
  <c r="DJ187" i="175"/>
  <c r="CZ195" i="175"/>
  <c r="CZ197" i="175" s="1"/>
  <c r="BV206" i="175"/>
  <c r="DL106" i="175"/>
  <c r="DJ106" i="175" s="1"/>
  <c r="DW206" i="175"/>
  <c r="AS206" i="175"/>
  <c r="AW206" i="175"/>
  <c r="AW129" i="175"/>
  <c r="AW197" i="175" s="1"/>
  <c r="BT195" i="175"/>
  <c r="CD195" i="175"/>
  <c r="CD197" i="175" s="1"/>
  <c r="CN130" i="175"/>
  <c r="EB195" i="175"/>
  <c r="AC199" i="175"/>
  <c r="AC205" i="175" s="1"/>
  <c r="AC207" i="175" s="1"/>
  <c r="AC195" i="175"/>
  <c r="BT199" i="175"/>
  <c r="DT199" i="175"/>
  <c r="DD199" i="175"/>
  <c r="DD195" i="175"/>
  <c r="H136" i="175"/>
  <c r="DU195" i="175"/>
  <c r="DU197" i="175" s="1"/>
  <c r="Y148" i="175"/>
  <c r="CB200" i="175"/>
  <c r="DO200" i="175"/>
  <c r="DY200" i="175"/>
  <c r="BW157" i="175"/>
  <c r="BR157" i="175" s="1"/>
  <c r="CM160" i="175"/>
  <c r="DI160" i="175" s="1"/>
  <c r="BV161" i="175"/>
  <c r="BR161" i="175" s="1"/>
  <c r="CN161" i="175"/>
  <c r="CL168" i="175"/>
  <c r="CN170" i="175"/>
  <c r="DN170" i="175"/>
  <c r="AV171" i="175"/>
  <c r="AU171" i="175" s="1"/>
  <c r="BQ171" i="175" s="1"/>
  <c r="AU184" i="175"/>
  <c r="BQ184" i="175" s="1"/>
  <c r="I184" i="175"/>
  <c r="BR189" i="175"/>
  <c r="CN190" i="175"/>
  <c r="BA195" i="175"/>
  <c r="BA197" i="175" s="1"/>
  <c r="DU199" i="175"/>
  <c r="DU205" i="175" s="1"/>
  <c r="DU207" i="175" s="1"/>
  <c r="BK206" i="175"/>
  <c r="CG113" i="175"/>
  <c r="CG206" i="175" s="1"/>
  <c r="CE195" i="175"/>
  <c r="DT195" i="175"/>
  <c r="AE195" i="175"/>
  <c r="AE199" i="175"/>
  <c r="CE199" i="175"/>
  <c r="DV199" i="175"/>
  <c r="BH199" i="175"/>
  <c r="BH195" i="175"/>
  <c r="BH197" i="175" s="1"/>
  <c r="AS199" i="175"/>
  <c r="AS195" i="175"/>
  <c r="BS200" i="175"/>
  <c r="CC200" i="175"/>
  <c r="DP200" i="175"/>
  <c r="H163" i="175"/>
  <c r="BX177" i="175"/>
  <c r="DP177" i="175"/>
  <c r="DJ177" i="175" s="1"/>
  <c r="Y177" i="175"/>
  <c r="I177" i="175" s="1"/>
  <c r="DJ186" i="175"/>
  <c r="Y191" i="175"/>
  <c r="DP191" i="175"/>
  <c r="BX191" i="175"/>
  <c r="BR191" i="175" s="1"/>
  <c r="BY206" i="175"/>
  <c r="DN206" i="175"/>
  <c r="DY206" i="175"/>
  <c r="BW203" i="175"/>
  <c r="AO199" i="175"/>
  <c r="AO205" i="175" s="1"/>
  <c r="AO207" i="175" s="1"/>
  <c r="AO195" i="175"/>
  <c r="BW199" i="175"/>
  <c r="CF199" i="175"/>
  <c r="DW199" i="175"/>
  <c r="BL199" i="175"/>
  <c r="BL195" i="175"/>
  <c r="BL197" i="175" s="1"/>
  <c r="CH134" i="175"/>
  <c r="CH195" i="175" s="1"/>
  <c r="ED150" i="175"/>
  <c r="BT200" i="175"/>
  <c r="DQ200" i="175"/>
  <c r="EA200" i="175"/>
  <c r="AS200" i="175"/>
  <c r="ED160" i="175"/>
  <c r="DJ160" i="175" s="1"/>
  <c r="Y160" i="175"/>
  <c r="I160" i="175" s="1"/>
  <c r="AA200" i="175"/>
  <c r="Y163" i="175"/>
  <c r="AA195" i="175"/>
  <c r="DL163" i="175"/>
  <c r="CM167" i="175"/>
  <c r="DI167" i="175" s="1"/>
  <c r="DD200" i="175"/>
  <c r="DZ170" i="175"/>
  <c r="DJ182" i="175"/>
  <c r="DJ190" i="175"/>
  <c r="AG205" i="175"/>
  <c r="AG207" i="175" s="1"/>
  <c r="CO205" i="175"/>
  <c r="DC200" i="175"/>
  <c r="AZ200" i="175"/>
  <c r="CZ200" i="175"/>
  <c r="CZ205" i="175" s="1"/>
  <c r="CZ207" i="175" s="1"/>
  <c r="CM175" i="175"/>
  <c r="DI175" i="175" s="1"/>
  <c r="BV181" i="175"/>
  <c r="Y181" i="175"/>
  <c r="BV184" i="175"/>
  <c r="BX188" i="175"/>
  <c r="BR188" i="175" s="1"/>
  <c r="AV188" i="175"/>
  <c r="AU188" i="175" s="1"/>
  <c r="BQ188" i="175" s="1"/>
  <c r="CL193" i="175"/>
  <c r="BR193" i="175" s="1"/>
  <c r="BD205" i="175"/>
  <c r="BD207" i="175" s="1"/>
  <c r="DV200" i="175"/>
  <c r="AV178" i="175"/>
  <c r="AU178" i="175" s="1"/>
  <c r="BQ178" i="175" s="1"/>
  <c r="I179" i="175"/>
  <c r="Y182" i="175"/>
  <c r="I182" i="175" s="1"/>
  <c r="CM187" i="175"/>
  <c r="DI187" i="175" s="1"/>
  <c r="ED193" i="175"/>
  <c r="DJ193" i="175" s="1"/>
  <c r="H194" i="175"/>
  <c r="EC203" i="175"/>
  <c r="DJ185" i="175"/>
  <c r="DZ192" i="175"/>
  <c r="DZ201" i="175" s="1"/>
  <c r="BG205" i="175"/>
  <c r="BG207" i="175" s="1"/>
  <c r="BP200" i="175"/>
  <c r="BX170" i="175"/>
  <c r="BX200" i="175" s="1"/>
  <c r="BV171" i="175"/>
  <c r="BR171" i="175" s="1"/>
  <c r="H187" i="175"/>
  <c r="I187" i="175" s="1"/>
  <c r="CH192" i="175"/>
  <c r="BR192" i="175" s="1"/>
  <c r="CW205" i="175"/>
  <c r="CW207" i="175" s="1"/>
  <c r="BR187" i="175"/>
  <c r="AJ205" i="175"/>
  <c r="AJ207" i="175" s="1"/>
  <c r="AR205" i="175"/>
  <c r="AR207" i="175" s="1"/>
  <c r="CX205" i="175"/>
  <c r="CX207" i="175" s="1"/>
  <c r="DF205" i="175"/>
  <c r="DF207" i="175" s="1"/>
  <c r="DG205" i="175"/>
  <c r="DG207" i="175" s="1"/>
  <c r="DH103" i="174"/>
  <c r="CT101" i="174"/>
  <c r="BA101" i="174"/>
  <c r="CT95" i="174"/>
  <c r="BB93" i="174"/>
  <c r="DA87" i="174"/>
  <c r="BI87" i="174"/>
  <c r="DH86" i="174"/>
  <c r="BP86" i="174"/>
  <c r="DH85" i="174"/>
  <c r="CU84" i="174"/>
  <c r="BC84" i="174"/>
  <c r="CU83" i="174"/>
  <c r="BC83" i="174"/>
  <c r="DH82" i="174"/>
  <c r="CU81" i="174"/>
  <c r="CU78" i="174"/>
  <c r="DC75" i="174"/>
  <c r="CU74" i="174"/>
  <c r="BC74" i="174"/>
  <c r="DH73" i="174"/>
  <c r="DH72" i="174"/>
  <c r="BP72" i="174"/>
  <c r="DH71" i="174"/>
  <c r="DC71" i="174"/>
  <c r="BK71" i="174"/>
  <c r="CT70" i="174"/>
  <c r="CT69" i="174"/>
  <c r="DH68" i="174"/>
  <c r="DC23" i="174"/>
  <c r="CQ49" i="174"/>
  <c r="EC205" i="175" l="1"/>
  <c r="EC207" i="175" s="1"/>
  <c r="AV201" i="175"/>
  <c r="DM197" i="175"/>
  <c r="BS205" i="175"/>
  <c r="BS207" i="175" s="1"/>
  <c r="BB205" i="175"/>
  <c r="BB207" i="175" s="1"/>
  <c r="DA205" i="175"/>
  <c r="DA207" i="175" s="1"/>
  <c r="DB205" i="175"/>
  <c r="DQ18" i="175"/>
  <c r="DQ34" i="175" s="1"/>
  <c r="DZ195" i="175"/>
  <c r="DJ124" i="175"/>
  <c r="CH129" i="175"/>
  <c r="AV203" i="175"/>
  <c r="I44" i="175"/>
  <c r="CL34" i="175"/>
  <c r="DC205" i="175"/>
  <c r="CU34" i="175"/>
  <c r="BK205" i="175"/>
  <c r="BK207" i="175" s="1"/>
  <c r="DZ203" i="175"/>
  <c r="DV197" i="175"/>
  <c r="DJ39" i="175"/>
  <c r="I66" i="175"/>
  <c r="CN18" i="175"/>
  <c r="DJ50" i="175"/>
  <c r="DZ129" i="175"/>
  <c r="BU202" i="175"/>
  <c r="BU205" i="175" s="1"/>
  <c r="BU207" i="175" s="1"/>
  <c r="EB67" i="175"/>
  <c r="EB197" i="175" s="1"/>
  <c r="CF206" i="175"/>
  <c r="DX202" i="175"/>
  <c r="DX205" i="175" s="1"/>
  <c r="DJ48" i="175"/>
  <c r="DJ158" i="175"/>
  <c r="DH205" i="175"/>
  <c r="DH207" i="175" s="1"/>
  <c r="CU205" i="175"/>
  <c r="CU207" i="175" s="1"/>
  <c r="DY195" i="175"/>
  <c r="DY34" i="175"/>
  <c r="AV202" i="175"/>
  <c r="AU202" i="175" s="1"/>
  <c r="BQ202" i="175" s="1"/>
  <c r="BR101" i="175"/>
  <c r="I159" i="175"/>
  <c r="DM205" i="175"/>
  <c r="DM207" i="175" s="1"/>
  <c r="DB197" i="175"/>
  <c r="DJ19" i="175"/>
  <c r="DV205" i="175"/>
  <c r="DV207" i="175" s="1"/>
  <c r="CO207" i="175"/>
  <c r="H111" i="175"/>
  <c r="I111" i="175" s="1"/>
  <c r="CG204" i="175"/>
  <c r="BR170" i="175"/>
  <c r="BR158" i="175"/>
  <c r="DK205" i="175"/>
  <c r="H127" i="175"/>
  <c r="I127" i="175" s="1"/>
  <c r="CM127" i="175"/>
  <c r="DI127" i="175" s="1"/>
  <c r="DC207" i="175"/>
  <c r="AV104" i="175"/>
  <c r="BM207" i="175"/>
  <c r="CN202" i="175"/>
  <c r="CM202" i="175" s="1"/>
  <c r="DI202" i="175" s="1"/>
  <c r="DY203" i="175"/>
  <c r="DJ22" i="175"/>
  <c r="AV200" i="175"/>
  <c r="BR71" i="175"/>
  <c r="DX206" i="175"/>
  <c r="CN200" i="175"/>
  <c r="BJ205" i="175"/>
  <c r="BJ207" i="175" s="1"/>
  <c r="CE202" i="175"/>
  <c r="CE205" i="175" s="1"/>
  <c r="CE207" i="175" s="1"/>
  <c r="DJ129" i="175"/>
  <c r="I169" i="175"/>
  <c r="DX203" i="175"/>
  <c r="I157" i="175"/>
  <c r="CM45" i="175"/>
  <c r="DI45" i="175" s="1"/>
  <c r="H135" i="175"/>
  <c r="I135" i="175" s="1"/>
  <c r="CM135" i="175"/>
  <c r="DI135" i="175" s="1"/>
  <c r="BR177" i="175"/>
  <c r="DD205" i="175"/>
  <c r="DD207" i="175" s="1"/>
  <c r="CM101" i="175"/>
  <c r="DI101" i="175" s="1"/>
  <c r="CG203" i="175"/>
  <c r="CN204" i="175"/>
  <c r="BY67" i="175"/>
  <c r="CF34" i="175"/>
  <c r="CA67" i="175"/>
  <c r="AZ197" i="175"/>
  <c r="ED195" i="175"/>
  <c r="DZ200" i="175"/>
  <c r="DJ170" i="175"/>
  <c r="DC197" i="175"/>
  <c r="CL199" i="175"/>
  <c r="CL202" i="175"/>
  <c r="BR47" i="175"/>
  <c r="DP25" i="175"/>
  <c r="DJ25" i="175" s="1"/>
  <c r="CL195" i="175"/>
  <c r="CM40" i="175"/>
  <c r="DI40" i="175" s="1"/>
  <c r="H40" i="175"/>
  <c r="I40" i="175" s="1"/>
  <c r="BV200" i="175"/>
  <c r="CT203" i="175"/>
  <c r="CN203" i="175" s="1"/>
  <c r="CH201" i="175"/>
  <c r="CN129" i="175"/>
  <c r="CM129" i="175" s="1"/>
  <c r="DI129" i="175" s="1"/>
  <c r="BB197" i="175"/>
  <c r="DY67" i="175"/>
  <c r="I101" i="175"/>
  <c r="CF129" i="175"/>
  <c r="CN104" i="175"/>
  <c r="BR128" i="175"/>
  <c r="CF67" i="175"/>
  <c r="BR45" i="175"/>
  <c r="I148" i="175"/>
  <c r="BX195" i="175"/>
  <c r="DQ104" i="175"/>
  <c r="AV204" i="175"/>
  <c r="BK197" i="175"/>
  <c r="EA197" i="175"/>
  <c r="BR37" i="175"/>
  <c r="CT34" i="175"/>
  <c r="CT197" i="175" s="1"/>
  <c r="CG67" i="175"/>
  <c r="CM113" i="175"/>
  <c r="DI113" i="175" s="1"/>
  <c r="H113" i="175"/>
  <c r="I113" i="175" s="1"/>
  <c r="AV206" i="175"/>
  <c r="AU206" i="175" s="1"/>
  <c r="BQ206" i="175" s="1"/>
  <c r="I162" i="175"/>
  <c r="AU162" i="175"/>
  <c r="BQ162" i="175" s="1"/>
  <c r="CJ205" i="175"/>
  <c r="CJ207" i="175" s="1"/>
  <c r="CL67" i="175"/>
  <c r="CG199" i="175"/>
  <c r="I84" i="175"/>
  <c r="AU84" i="175"/>
  <c r="BQ84" i="175" s="1"/>
  <c r="I68" i="175"/>
  <c r="AU96" i="175"/>
  <c r="BQ96" i="175" s="1"/>
  <c r="AV195" i="175"/>
  <c r="AU195" i="175" s="1"/>
  <c r="BQ195" i="175" s="1"/>
  <c r="I180" i="175"/>
  <c r="CM180" i="175"/>
  <c r="DI180" i="175" s="1"/>
  <c r="AU180" i="175"/>
  <c r="BQ180" i="175" s="1"/>
  <c r="Y195" i="175"/>
  <c r="CL129" i="175"/>
  <c r="CI206" i="175"/>
  <c r="CI129" i="175"/>
  <c r="CI197" i="175" s="1"/>
  <c r="BZ202" i="175"/>
  <c r="BZ205" i="175" s="1"/>
  <c r="BZ207" i="175" s="1"/>
  <c r="BZ67" i="175"/>
  <c r="BZ197" i="175" s="1"/>
  <c r="DQ202" i="175"/>
  <c r="DQ67" i="175"/>
  <c r="H158" i="175"/>
  <c r="I158" i="175" s="1"/>
  <c r="CM158" i="175"/>
  <c r="DI158" i="175" s="1"/>
  <c r="DP203" i="175"/>
  <c r="I163" i="175"/>
  <c r="AU101" i="175"/>
  <c r="BQ101" i="175" s="1"/>
  <c r="BY104" i="175"/>
  <c r="BX202" i="175"/>
  <c r="BX67" i="175"/>
  <c r="AU137" i="175"/>
  <c r="BQ137" i="175" s="1"/>
  <c r="DY202" i="175"/>
  <c r="AU73" i="175"/>
  <c r="BQ73" i="175" s="1"/>
  <c r="I73" i="175"/>
  <c r="CM178" i="175"/>
  <c r="DI178" i="175" s="1"/>
  <c r="I178" i="175"/>
  <c r="CB197" i="175"/>
  <c r="CM31" i="175"/>
  <c r="DI31" i="175" s="1"/>
  <c r="H31" i="175"/>
  <c r="I31" i="175" s="1"/>
  <c r="DX129" i="175"/>
  <c r="BC205" i="175"/>
  <c r="BC207" i="175" s="1"/>
  <c r="AA205" i="175"/>
  <c r="AA207" i="175" s="1"/>
  <c r="AE205" i="175"/>
  <c r="AE207" i="175" s="1"/>
  <c r="H170" i="175"/>
  <c r="I170" i="175" s="1"/>
  <c r="CM170" i="175"/>
  <c r="DI170" i="175" s="1"/>
  <c r="CN195" i="175"/>
  <c r="CM195" i="175" s="1"/>
  <c r="DI195" i="175" s="1"/>
  <c r="H130" i="175"/>
  <c r="CM130" i="175"/>
  <c r="DI130" i="175" s="1"/>
  <c r="ED200" i="175"/>
  <c r="CM177" i="175"/>
  <c r="DI177" i="175" s="1"/>
  <c r="DN195" i="175"/>
  <c r="DN197" i="175" s="1"/>
  <c r="BR113" i="175"/>
  <c r="I69" i="175"/>
  <c r="AU69" i="175"/>
  <c r="BQ69" i="175" s="1"/>
  <c r="CH202" i="175"/>
  <c r="DJ192" i="175"/>
  <c r="BY204" i="175"/>
  <c r="CF202" i="175"/>
  <c r="CM134" i="175"/>
  <c r="DI134" i="175" s="1"/>
  <c r="H134" i="175"/>
  <c r="H64" i="175"/>
  <c r="I64" i="175" s="1"/>
  <c r="CM64" i="175"/>
  <c r="DI64" i="175" s="1"/>
  <c r="CM57" i="175"/>
  <c r="DI57" i="175" s="1"/>
  <c r="H57" i="175"/>
  <c r="I57" i="175" s="1"/>
  <c r="H23" i="175"/>
  <c r="I23" i="175" s="1"/>
  <c r="CM23" i="175"/>
  <c r="DI23" i="175" s="1"/>
  <c r="DH197" i="175"/>
  <c r="CG202" i="175"/>
  <c r="BY195" i="175"/>
  <c r="CH197" i="175"/>
  <c r="CG34" i="175"/>
  <c r="CF203" i="175"/>
  <c r="EB205" i="175"/>
  <c r="EB207" i="175" s="1"/>
  <c r="CM107" i="175"/>
  <c r="DI107" i="175" s="1"/>
  <c r="H107" i="175"/>
  <c r="CM72" i="175"/>
  <c r="DI72" i="175" s="1"/>
  <c r="H72" i="175"/>
  <c r="I72" i="175" s="1"/>
  <c r="AU148" i="175"/>
  <c r="BQ148" i="175" s="1"/>
  <c r="AU58" i="175"/>
  <c r="BQ58" i="175" s="1"/>
  <c r="DR202" i="175"/>
  <c r="DR205" i="175" s="1"/>
  <c r="DR207" i="175" s="1"/>
  <c r="DR67" i="175"/>
  <c r="DR197" i="175" s="1"/>
  <c r="CM44" i="175"/>
  <c r="DI44" i="175" s="1"/>
  <c r="CU197" i="175"/>
  <c r="AU66" i="175"/>
  <c r="BQ66" i="175" s="1"/>
  <c r="AU44" i="175"/>
  <c r="BQ44" i="175" s="1"/>
  <c r="BR106" i="175"/>
  <c r="AU53" i="175"/>
  <c r="BQ53" i="175" s="1"/>
  <c r="H161" i="175"/>
  <c r="I161" i="175" s="1"/>
  <c r="CM161" i="175"/>
  <c r="DI161" i="175" s="1"/>
  <c r="AU50" i="175"/>
  <c r="BQ50" i="175" s="1"/>
  <c r="I50" i="175"/>
  <c r="BR46" i="175"/>
  <c r="CL200" i="175"/>
  <c r="BW204" i="175"/>
  <c r="BW205" i="175" s="1"/>
  <c r="BW207" i="175" s="1"/>
  <c r="BW104" i="175"/>
  <c r="ED202" i="175"/>
  <c r="I194" i="175"/>
  <c r="DJ45" i="175"/>
  <c r="BV199" i="175"/>
  <c r="AN205" i="175"/>
  <c r="AN207" i="175" s="1"/>
  <c r="DO197" i="175"/>
  <c r="I27" i="175"/>
  <c r="CA197" i="175"/>
  <c r="DZ67" i="175"/>
  <c r="BV203" i="175"/>
  <c r="I156" i="175"/>
  <c r="CM156" i="175"/>
  <c r="DI156" i="175" s="1"/>
  <c r="CL201" i="175"/>
  <c r="H18" i="175"/>
  <c r="I18" i="175" s="1"/>
  <c r="CM18" i="175"/>
  <c r="DI18" i="175" s="1"/>
  <c r="AU61" i="175"/>
  <c r="BQ61" i="175" s="1"/>
  <c r="I61" i="175"/>
  <c r="BX201" i="175"/>
  <c r="BR17" i="175"/>
  <c r="BR34" i="175" s="1"/>
  <c r="CM91" i="175"/>
  <c r="DI91" i="175" s="1"/>
  <c r="H91" i="175"/>
  <c r="I91" i="175" s="1"/>
  <c r="CM48" i="175"/>
  <c r="DI48" i="175" s="1"/>
  <c r="H48" i="175"/>
  <c r="I48" i="175" s="1"/>
  <c r="CM50" i="175"/>
  <c r="DI50" i="175" s="1"/>
  <c r="CM13" i="175"/>
  <c r="DI13" i="175" s="1"/>
  <c r="H13" i="175"/>
  <c r="I13" i="175" s="1"/>
  <c r="CM84" i="175"/>
  <c r="DI84" i="175" s="1"/>
  <c r="DK129" i="175"/>
  <c r="DK197" i="175" s="1"/>
  <c r="DX67" i="175"/>
  <c r="DJ150" i="175"/>
  <c r="AS205" i="175"/>
  <c r="AS207" i="175" s="1"/>
  <c r="ED199" i="175"/>
  <c r="CM182" i="175"/>
  <c r="DI182" i="175" s="1"/>
  <c r="CB205" i="175"/>
  <c r="CB207" i="175" s="1"/>
  <c r="AU177" i="175"/>
  <c r="BQ177" i="175" s="1"/>
  <c r="H168" i="175"/>
  <c r="I168" i="175" s="1"/>
  <c r="CM168" i="175"/>
  <c r="DI168" i="175" s="1"/>
  <c r="AU160" i="175"/>
  <c r="BQ160" i="175" s="1"/>
  <c r="DY199" i="175"/>
  <c r="DW204" i="175"/>
  <c r="DW205" i="175" s="1"/>
  <c r="DW207" i="175" s="1"/>
  <c r="CD205" i="175"/>
  <c r="CD207" i="175" s="1"/>
  <c r="CG195" i="175"/>
  <c r="I86" i="175"/>
  <c r="CM86" i="175"/>
  <c r="DI86" i="175" s="1"/>
  <c r="CM75" i="175"/>
  <c r="DI75" i="175" s="1"/>
  <c r="H75" i="175"/>
  <c r="I75" i="175" s="1"/>
  <c r="CM157" i="175"/>
  <c r="DI157" i="175" s="1"/>
  <c r="CL204" i="175"/>
  <c r="CL104" i="175"/>
  <c r="CM152" i="175"/>
  <c r="DI152" i="175" s="1"/>
  <c r="H152" i="175"/>
  <c r="CC205" i="175"/>
  <c r="CC207" i="175" s="1"/>
  <c r="DJ87" i="175"/>
  <c r="DZ202" i="175"/>
  <c r="BP197" i="175"/>
  <c r="BY34" i="175"/>
  <c r="BX203" i="175"/>
  <c r="CM12" i="175"/>
  <c r="DI12" i="175" s="1"/>
  <c r="H12" i="175"/>
  <c r="I12" i="175" s="1"/>
  <c r="CI205" i="175"/>
  <c r="AC197" i="175"/>
  <c r="BT202" i="175"/>
  <c r="BT205" i="175" s="1"/>
  <c r="BT207" i="175" s="1"/>
  <c r="BT67" i="175"/>
  <c r="BT197" i="175" s="1"/>
  <c r="BR35" i="175"/>
  <c r="I99" i="175"/>
  <c r="CM66" i="175"/>
  <c r="DI66" i="175" s="1"/>
  <c r="I97" i="175"/>
  <c r="CM97" i="175"/>
  <c r="DI97" i="175" s="1"/>
  <c r="DP104" i="175"/>
  <c r="CE67" i="175"/>
  <c r="CE197" i="175" s="1"/>
  <c r="CM92" i="175"/>
  <c r="DI92" i="175" s="1"/>
  <c r="H92" i="175"/>
  <c r="I92" i="175" s="1"/>
  <c r="DS197" i="175"/>
  <c r="BR153" i="175"/>
  <c r="AU159" i="175"/>
  <c r="BQ159" i="175" s="1"/>
  <c r="CM96" i="175"/>
  <c r="DI96" i="175" s="1"/>
  <c r="H96" i="175"/>
  <c r="I96" i="175" s="1"/>
  <c r="Y200" i="175"/>
  <c r="I152" i="175"/>
  <c r="AU152" i="175"/>
  <c r="BQ152" i="175" s="1"/>
  <c r="AU104" i="175"/>
  <c r="BQ104" i="175" s="1"/>
  <c r="DP202" i="175"/>
  <c r="DP67" i="175"/>
  <c r="CM30" i="175"/>
  <c r="DI30" i="175" s="1"/>
  <c r="H30" i="175"/>
  <c r="I30" i="175" s="1"/>
  <c r="I8" i="175"/>
  <c r="BX34" i="175"/>
  <c r="CM62" i="175"/>
  <c r="DI62" i="175" s="1"/>
  <c r="H62" i="175"/>
  <c r="I62" i="175" s="1"/>
  <c r="I166" i="175"/>
  <c r="DJ96" i="175"/>
  <c r="DJ104" i="175" s="1"/>
  <c r="CM164" i="175"/>
  <c r="DI164" i="175" s="1"/>
  <c r="H164" i="175"/>
  <c r="I164" i="175" s="1"/>
  <c r="CM46" i="175"/>
  <c r="DI46" i="175" s="1"/>
  <c r="H46" i="175"/>
  <c r="I46" i="175" s="1"/>
  <c r="I143" i="175"/>
  <c r="CL206" i="175"/>
  <c r="H190" i="175"/>
  <c r="I190" i="175" s="1"/>
  <c r="CM190" i="175"/>
  <c r="DI190" i="175" s="1"/>
  <c r="AU182" i="175"/>
  <c r="BQ182" i="175" s="1"/>
  <c r="BV195" i="175"/>
  <c r="CM118" i="175"/>
  <c r="DI118" i="175" s="1"/>
  <c r="H118" i="175"/>
  <c r="BR87" i="175"/>
  <c r="CR205" i="175"/>
  <c r="CR207" i="175" s="1"/>
  <c r="ED201" i="175"/>
  <c r="CM83" i="175"/>
  <c r="DI83" i="175" s="1"/>
  <c r="I83" i="175"/>
  <c r="DS205" i="175"/>
  <c r="DS207" i="175" s="1"/>
  <c r="ED104" i="175"/>
  <c r="ED204" i="175"/>
  <c r="I65" i="175"/>
  <c r="CM65" i="175"/>
  <c r="DI65" i="175" s="1"/>
  <c r="AU65" i="175"/>
  <c r="BQ65" i="175" s="1"/>
  <c r="CJ197" i="175"/>
  <c r="CM181" i="175"/>
  <c r="DI181" i="175" s="1"/>
  <c r="AU181" i="175"/>
  <c r="BQ181" i="175" s="1"/>
  <c r="I181" i="175"/>
  <c r="CN199" i="175"/>
  <c r="BW195" i="175"/>
  <c r="I191" i="175"/>
  <c r="DT205" i="175"/>
  <c r="DT207" i="175" s="1"/>
  <c r="BY200" i="175"/>
  <c r="DO199" i="175"/>
  <c r="DO205" i="175" s="1"/>
  <c r="DO207" i="175" s="1"/>
  <c r="BX104" i="175"/>
  <c r="I142" i="175"/>
  <c r="DJ162" i="175"/>
  <c r="CM148" i="175"/>
  <c r="DI148" i="175" s="1"/>
  <c r="CN206" i="175"/>
  <c r="CM206" i="175" s="1"/>
  <c r="DI206" i="175" s="1"/>
  <c r="H192" i="175"/>
  <c r="I192" i="175" s="1"/>
  <c r="CM192" i="175"/>
  <c r="DI192" i="175" s="1"/>
  <c r="I78" i="175"/>
  <c r="AU78" i="175"/>
  <c r="BQ78" i="175" s="1"/>
  <c r="I70" i="175"/>
  <c r="CM70" i="175"/>
  <c r="DI70" i="175" s="1"/>
  <c r="DW67" i="175"/>
  <c r="CM128" i="175"/>
  <c r="DI128" i="175" s="1"/>
  <c r="H128" i="175"/>
  <c r="I128" i="175" s="1"/>
  <c r="H24" i="175"/>
  <c r="I24" i="175" s="1"/>
  <c r="CM24" i="175"/>
  <c r="DI24" i="175" s="1"/>
  <c r="BR21" i="175"/>
  <c r="DW197" i="175"/>
  <c r="BJ197" i="175"/>
  <c r="DJ83" i="175"/>
  <c r="DL104" i="175"/>
  <c r="BP205" i="175"/>
  <c r="BP207" i="175" s="1"/>
  <c r="H87" i="175"/>
  <c r="I87" i="175" s="1"/>
  <c r="CM87" i="175"/>
  <c r="DI87" i="175" s="1"/>
  <c r="BV202" i="175"/>
  <c r="BV67" i="175"/>
  <c r="Y202" i="175"/>
  <c r="Y67" i="175"/>
  <c r="I35" i="175"/>
  <c r="CM35" i="175"/>
  <c r="DI35" i="175" s="1"/>
  <c r="AU35" i="175"/>
  <c r="BQ35" i="175" s="1"/>
  <c r="I140" i="175"/>
  <c r="I118" i="175"/>
  <c r="AU118" i="175"/>
  <c r="BQ118" i="175" s="1"/>
  <c r="DP204" i="175"/>
  <c r="AU48" i="175"/>
  <c r="BQ48" i="175" s="1"/>
  <c r="CM58" i="175"/>
  <c r="DI58" i="175" s="1"/>
  <c r="H58" i="175"/>
  <c r="I58" i="175" s="1"/>
  <c r="ED34" i="175"/>
  <c r="I153" i="175"/>
  <c r="AV34" i="175"/>
  <c r="DN104" i="175"/>
  <c r="DZ34" i="175"/>
  <c r="DZ197" i="175" s="1"/>
  <c r="DJ52" i="175"/>
  <c r="DX34" i="175"/>
  <c r="DK206" i="175"/>
  <c r="DJ147" i="175"/>
  <c r="DL200" i="175"/>
  <c r="DL195" i="175"/>
  <c r="DJ163" i="175"/>
  <c r="Y199" i="175"/>
  <c r="CM124" i="175"/>
  <c r="DI124" i="175" s="1"/>
  <c r="H124" i="175"/>
  <c r="I124" i="175" s="1"/>
  <c r="Y204" i="175"/>
  <c r="I136" i="175"/>
  <c r="AU136" i="175"/>
  <c r="BQ136" i="175" s="1"/>
  <c r="EA205" i="175"/>
  <c r="EA207" i="175" s="1"/>
  <c r="Y203" i="175"/>
  <c r="CT201" i="175"/>
  <c r="DP17" i="175"/>
  <c r="CN17" i="175"/>
  <c r="CN34" i="175" s="1"/>
  <c r="AZ205" i="175"/>
  <c r="AZ207" i="175" s="1"/>
  <c r="AV199" i="175"/>
  <c r="I154" i="175"/>
  <c r="CM162" i="175"/>
  <c r="DI162" i="175" s="1"/>
  <c r="AW207" i="175"/>
  <c r="DL206" i="175"/>
  <c r="DL129" i="175"/>
  <c r="DB207" i="175"/>
  <c r="AU201" i="175"/>
  <c r="BQ201" i="175" s="1"/>
  <c r="BL205" i="175"/>
  <c r="BL207" i="175" s="1"/>
  <c r="BH205" i="175"/>
  <c r="BH207" i="175" s="1"/>
  <c r="DP195" i="175"/>
  <c r="AU157" i="175"/>
  <c r="BQ157" i="175" s="1"/>
  <c r="BX204" i="175"/>
  <c r="CM109" i="175"/>
  <c r="DI109" i="175" s="1"/>
  <c r="H109" i="175"/>
  <c r="I109" i="175" s="1"/>
  <c r="AU106" i="175"/>
  <c r="BQ106" i="175" s="1"/>
  <c r="AV129" i="175"/>
  <c r="AU129" i="175" s="1"/>
  <c r="BQ129" i="175" s="1"/>
  <c r="BS197" i="175"/>
  <c r="DJ84" i="175"/>
  <c r="CK205" i="175"/>
  <c r="CK207" i="175" s="1"/>
  <c r="DD197" i="175"/>
  <c r="DN200" i="175"/>
  <c r="DN205" i="175" s="1"/>
  <c r="DN207" i="175" s="1"/>
  <c r="DJ152" i="175"/>
  <c r="CA205" i="175"/>
  <c r="CA207" i="175" s="1"/>
  <c r="Y104" i="175"/>
  <c r="CM104" i="175" s="1"/>
  <c r="DI104" i="175" s="1"/>
  <c r="DL202" i="175"/>
  <c r="DJ35" i="175"/>
  <c r="DL67" i="175"/>
  <c r="DL197" i="175" s="1"/>
  <c r="CM53" i="175"/>
  <c r="DI53" i="175" s="1"/>
  <c r="H53" i="175"/>
  <c r="I53" i="175" s="1"/>
  <c r="I55" i="175"/>
  <c r="BR48" i="175"/>
  <c r="DJ58" i="175"/>
  <c r="CN67" i="175"/>
  <c r="CM67" i="175" s="1"/>
  <c r="ED67" i="175"/>
  <c r="CC197" i="175"/>
  <c r="DT197" i="175"/>
  <c r="AF197" i="175"/>
  <c r="AV67" i="175"/>
  <c r="AU67" i="175" s="1"/>
  <c r="BQ67" i="175" s="1"/>
  <c r="I147" i="175"/>
  <c r="DF39" i="174"/>
  <c r="DD37" i="174"/>
  <c r="DB128" i="174"/>
  <c r="CT48" i="174"/>
  <c r="DD45" i="174"/>
  <c r="DD23" i="174"/>
  <c r="BJ6" i="174"/>
  <c r="DD22" i="174"/>
  <c r="DB65" i="174"/>
  <c r="DD44" i="174"/>
  <c r="DD54" i="174"/>
  <c r="DB48" i="174"/>
  <c r="DD48" i="174"/>
  <c r="DE111" i="174"/>
  <c r="BK23" i="174"/>
  <c r="CU44" i="174"/>
  <c r="DB33" i="174"/>
  <c r="DD178" i="174"/>
  <c r="DB47" i="174"/>
  <c r="BB188" i="174"/>
  <c r="CR58" i="174"/>
  <c r="AY47" i="174"/>
  <c r="DC124" i="174"/>
  <c r="BJ65" i="174"/>
  <c r="BB43" i="174"/>
  <c r="DD124" i="174"/>
  <c r="DH118" i="174"/>
  <c r="DB124" i="174"/>
  <c r="CU19" i="174"/>
  <c r="CO124" i="174"/>
  <c r="DB31" i="174"/>
  <c r="BB57" i="174"/>
  <c r="BP50" i="174"/>
  <c r="BM126" i="174"/>
  <c r="BM111" i="174"/>
  <c r="DE106" i="174"/>
  <c r="DH66" i="174"/>
  <c r="BB24" i="174"/>
  <c r="CT42" i="174"/>
  <c r="CT43" i="174"/>
  <c r="DC64" i="174"/>
  <c r="CO112" i="174"/>
  <c r="DC48" i="174"/>
  <c r="DD192" i="174"/>
  <c r="BK39" i="174"/>
  <c r="DB7" i="174"/>
  <c r="CT188" i="174"/>
  <c r="DE126" i="174"/>
  <c r="DA52" i="174"/>
  <c r="CT13" i="174"/>
  <c r="DH53" i="174"/>
  <c r="BB13" i="174"/>
  <c r="CT11" i="174"/>
  <c r="BW197" i="175" l="1"/>
  <c r="CM200" i="175"/>
  <c r="DI200" i="175" s="1"/>
  <c r="DX207" i="175"/>
  <c r="DJ203" i="175"/>
  <c r="BR206" i="175"/>
  <c r="DQ197" i="175"/>
  <c r="DJ206" i="175"/>
  <c r="AU203" i="175"/>
  <c r="BQ203" i="175" s="1"/>
  <c r="DZ205" i="175"/>
  <c r="DZ207" i="175" s="1"/>
  <c r="DJ18" i="175"/>
  <c r="DQ201" i="175"/>
  <c r="DQ205" i="175" s="1"/>
  <c r="DQ207" i="175" s="1"/>
  <c r="DX197" i="175"/>
  <c r="BR104" i="175"/>
  <c r="BV197" i="175"/>
  <c r="BR199" i="175"/>
  <c r="DY197" i="175"/>
  <c r="AU204" i="175"/>
  <c r="BQ204" i="175" s="1"/>
  <c r="CI207" i="175"/>
  <c r="CF197" i="175"/>
  <c r="CH205" i="175"/>
  <c r="CH207" i="175" s="1"/>
  <c r="CL197" i="175"/>
  <c r="DJ204" i="175"/>
  <c r="DY205" i="175"/>
  <c r="DY207" i="175" s="1"/>
  <c r="BR203" i="175"/>
  <c r="BR204" i="175"/>
  <c r="BR202" i="175"/>
  <c r="BX205" i="175"/>
  <c r="BX207" i="175" s="1"/>
  <c r="BR201" i="175"/>
  <c r="BR195" i="175"/>
  <c r="BR200" i="175"/>
  <c r="DJ195" i="175"/>
  <c r="ED197" i="175"/>
  <c r="CF205" i="175"/>
  <c r="CF207" i="175" s="1"/>
  <c r="CN197" i="175"/>
  <c r="CM34" i="175"/>
  <c r="DI34" i="175" s="1"/>
  <c r="DI197" i="175" s="1"/>
  <c r="I134" i="175"/>
  <c r="I199" i="175" s="1"/>
  <c r="H199" i="175"/>
  <c r="H195" i="175"/>
  <c r="I130" i="175"/>
  <c r="I203" i="175" s="1"/>
  <c r="H104" i="175"/>
  <c r="CM203" i="175"/>
  <c r="DI203" i="175" s="1"/>
  <c r="CL205" i="175"/>
  <c r="CL207" i="175" s="1"/>
  <c r="AV205" i="175"/>
  <c r="AU199" i="175"/>
  <c r="BQ199" i="175" s="1"/>
  <c r="Y205" i="175"/>
  <c r="Y207" i="175" s="1"/>
  <c r="I200" i="175"/>
  <c r="BV205" i="175"/>
  <c r="BV207" i="175" s="1"/>
  <c r="H67" i="175"/>
  <c r="H204" i="175"/>
  <c r="DJ199" i="175"/>
  <c r="CM204" i="175"/>
  <c r="DI204" i="175" s="1"/>
  <c r="ED205" i="175"/>
  <c r="ED207" i="175" s="1"/>
  <c r="DJ67" i="175"/>
  <c r="CM17" i="175"/>
  <c r="DI17" i="175" s="1"/>
  <c r="H17" i="175"/>
  <c r="H34" i="175" s="1"/>
  <c r="I202" i="175"/>
  <c r="I67" i="175"/>
  <c r="Y197" i="175"/>
  <c r="BR67" i="175"/>
  <c r="H200" i="175"/>
  <c r="BR129" i="175"/>
  <c r="BY205" i="175"/>
  <c r="BY207" i="175" s="1"/>
  <c r="I204" i="175"/>
  <c r="I104" i="175"/>
  <c r="H202" i="175"/>
  <c r="DK207" i="175"/>
  <c r="DJ202" i="175"/>
  <c r="DP201" i="175"/>
  <c r="DP34" i="175"/>
  <c r="DP197" i="175" s="1"/>
  <c r="DJ17" i="175"/>
  <c r="DJ34" i="175" s="1"/>
  <c r="DL205" i="175"/>
  <c r="DL207" i="175" s="1"/>
  <c r="DJ200" i="175"/>
  <c r="AV197" i="175"/>
  <c r="AU34" i="175"/>
  <c r="BQ34" i="175" s="1"/>
  <c r="BY197" i="175"/>
  <c r="CG197" i="175"/>
  <c r="CG205" i="175"/>
  <c r="CG207" i="175" s="1"/>
  <c r="AU200" i="175"/>
  <c r="BQ200" i="175" s="1"/>
  <c r="I107" i="175"/>
  <c r="H206" i="175"/>
  <c r="H129" i="175"/>
  <c r="H203" i="175"/>
  <c r="CN201" i="175"/>
  <c r="CM201" i="175" s="1"/>
  <c r="DI201" i="175" s="1"/>
  <c r="CT205" i="175"/>
  <c r="CT207" i="175" s="1"/>
  <c r="CM199" i="175"/>
  <c r="DI199" i="175" s="1"/>
  <c r="BX197" i="175"/>
  <c r="BB11" i="174"/>
  <c r="BJ30" i="174"/>
  <c r="BJ31" i="174"/>
  <c r="BJ7" i="174"/>
  <c r="BL178" i="174"/>
  <c r="BJ33" i="174"/>
  <c r="DH22" i="174"/>
  <c r="BB42" i="174"/>
  <c r="BB54" i="174"/>
  <c r="DH46" i="174"/>
  <c r="CT35" i="174"/>
  <c r="BB35" i="174"/>
  <c r="BL62" i="174"/>
  <c r="BB60" i="174"/>
  <c r="DA55" i="174"/>
  <c r="CP54" i="174"/>
  <c r="DC39" i="174"/>
  <c r="CQ47" i="174"/>
  <c r="AY49" i="174"/>
  <c r="DD64" i="174"/>
  <c r="DD62" i="174"/>
  <c r="BL114" i="174"/>
  <c r="BM127" i="174"/>
  <c r="BL124" i="174"/>
  <c r="DC127" i="174"/>
  <c r="DB118" i="174"/>
  <c r="BJ111" i="174"/>
  <c r="BK127" i="174"/>
  <c r="BC18" i="174"/>
  <c r="BC19" i="174"/>
  <c r="BP17" i="174"/>
  <c r="BB17" i="174"/>
  <c r="CT18" i="174"/>
  <c r="DH17" i="174"/>
  <c r="CT17" i="174" s="1"/>
  <c r="CR164" i="174"/>
  <c r="CN205" i="175" l="1"/>
  <c r="CM205" i="175" s="1"/>
  <c r="DI205" i="175" s="1"/>
  <c r="DJ197" i="175"/>
  <c r="BR205" i="175"/>
  <c r="BR207" i="175" s="1"/>
  <c r="H197" i="175"/>
  <c r="BR197" i="175"/>
  <c r="CN207" i="175"/>
  <c r="I129" i="175"/>
  <c r="I206" i="175"/>
  <c r="I195" i="175"/>
  <c r="H201" i="175"/>
  <c r="H205" i="175" s="1"/>
  <c r="H207" i="175" s="1"/>
  <c r="I17" i="175"/>
  <c r="CM197" i="175"/>
  <c r="AU197" i="175"/>
  <c r="BQ197" i="175" s="1"/>
  <c r="DP205" i="175"/>
  <c r="DP207" i="175" s="1"/>
  <c r="DJ201" i="175"/>
  <c r="DJ205" i="175" s="1"/>
  <c r="DJ207" i="175" s="1"/>
  <c r="AV207" i="175"/>
  <c r="AU205" i="175"/>
  <c r="BQ205" i="175" s="1"/>
  <c r="AV212" i="174"/>
  <c r="DH10" i="174"/>
  <c r="DH34" i="174" s="1"/>
  <c r="CT24" i="174"/>
  <c r="CN24" i="174" s="1"/>
  <c r="AX54" i="174"/>
  <c r="BI55" i="174"/>
  <c r="CU18" i="174"/>
  <c r="EC206" i="174"/>
  <c r="DU206" i="174"/>
  <c r="DR206" i="174"/>
  <c r="DO206" i="174"/>
  <c r="DG206" i="174"/>
  <c r="DF206" i="174"/>
  <c r="DA206" i="174"/>
  <c r="CZ206" i="174"/>
  <c r="CY206" i="174"/>
  <c r="CX206" i="174"/>
  <c r="CW206" i="174"/>
  <c r="CV206" i="174"/>
  <c r="CU206" i="174"/>
  <c r="CT206" i="174"/>
  <c r="CS206" i="174"/>
  <c r="CR206" i="174"/>
  <c r="CQ206" i="174"/>
  <c r="CP206" i="174"/>
  <c r="CJ206" i="174"/>
  <c r="BZ206" i="174"/>
  <c r="BW206" i="174"/>
  <c r="BU206" i="174"/>
  <c r="BO206" i="174"/>
  <c r="BN206" i="174"/>
  <c r="BI206" i="174"/>
  <c r="BH206" i="174"/>
  <c r="BG206" i="174"/>
  <c r="BF206" i="174"/>
  <c r="BE206" i="174"/>
  <c r="BD206" i="174"/>
  <c r="BC206" i="174"/>
  <c r="BB206" i="174"/>
  <c r="BA206" i="174"/>
  <c r="AZ206" i="174"/>
  <c r="AY206" i="174"/>
  <c r="AX206" i="174"/>
  <c r="AR206" i="174"/>
  <c r="AQ206" i="174"/>
  <c r="AP206" i="174"/>
  <c r="AN206" i="174"/>
  <c r="AL206" i="174"/>
  <c r="AK206" i="174"/>
  <c r="AJ206" i="174"/>
  <c r="AI206" i="174"/>
  <c r="AH206" i="174"/>
  <c r="AG206" i="174"/>
  <c r="AF206" i="174"/>
  <c r="AE206" i="174"/>
  <c r="AD206" i="174"/>
  <c r="AC206" i="174"/>
  <c r="AB206" i="174"/>
  <c r="Z206" i="174"/>
  <c r="G206" i="174"/>
  <c r="AT205" i="174"/>
  <c r="AT207" i="174" s="1"/>
  <c r="EC204" i="174"/>
  <c r="DU204" i="174"/>
  <c r="DR204" i="174"/>
  <c r="DK204" i="174"/>
  <c r="DG204" i="174"/>
  <c r="DF204" i="174"/>
  <c r="DE204" i="174"/>
  <c r="DD204" i="174"/>
  <c r="DB204" i="174"/>
  <c r="CZ204" i="174"/>
  <c r="CY204" i="174"/>
  <c r="CX204" i="174"/>
  <c r="CW204" i="174"/>
  <c r="CV204" i="174"/>
  <c r="CS204" i="174"/>
  <c r="CQ204" i="174"/>
  <c r="CP204" i="174"/>
  <c r="CO204" i="174"/>
  <c r="CK204" i="174"/>
  <c r="BZ204" i="174"/>
  <c r="BU204" i="174"/>
  <c r="BO204" i="174"/>
  <c r="BN204" i="174"/>
  <c r="BM204" i="174"/>
  <c r="BL204" i="174"/>
  <c r="BJ204" i="174"/>
  <c r="BH204" i="174"/>
  <c r="BG204" i="174"/>
  <c r="BF204" i="174"/>
  <c r="BE204" i="174"/>
  <c r="BD204" i="174"/>
  <c r="BA204" i="174"/>
  <c r="AY204" i="174"/>
  <c r="AX204" i="174"/>
  <c r="AW204" i="174"/>
  <c r="AR204" i="174"/>
  <c r="AQ204" i="174"/>
  <c r="AP204" i="174"/>
  <c r="AO204" i="174"/>
  <c r="AM204" i="174"/>
  <c r="AK204" i="174"/>
  <c r="AJ204" i="174"/>
  <c r="AI204" i="174"/>
  <c r="AH204" i="174"/>
  <c r="AG204" i="174"/>
  <c r="AD204" i="174"/>
  <c r="AB204" i="174"/>
  <c r="Z204" i="174"/>
  <c r="G204" i="174"/>
  <c r="DU203" i="174"/>
  <c r="DR203" i="174"/>
  <c r="DM203" i="174"/>
  <c r="DG203" i="174"/>
  <c r="DF203" i="174"/>
  <c r="DE203" i="174"/>
  <c r="DA203" i="174"/>
  <c r="CZ203" i="174"/>
  <c r="CY203" i="174"/>
  <c r="CX203" i="174"/>
  <c r="CW203" i="174"/>
  <c r="CV203" i="174"/>
  <c r="CU203" i="174"/>
  <c r="CS203" i="174"/>
  <c r="CR203" i="174"/>
  <c r="CQ203" i="174"/>
  <c r="CP203" i="174"/>
  <c r="CO203" i="174"/>
  <c r="BZ203" i="174"/>
  <c r="BU203" i="174"/>
  <c r="BO203" i="174"/>
  <c r="BN203" i="174"/>
  <c r="BM203" i="174"/>
  <c r="BI203" i="174"/>
  <c r="BH203" i="174"/>
  <c r="BG203" i="174"/>
  <c r="BF203" i="174"/>
  <c r="BE203" i="174"/>
  <c r="BD203" i="174"/>
  <c r="BC203" i="174"/>
  <c r="BA203" i="174"/>
  <c r="AZ203" i="174"/>
  <c r="AY203" i="174"/>
  <c r="AX203" i="174"/>
  <c r="AW203" i="174"/>
  <c r="AR203" i="174"/>
  <c r="AQ203" i="174"/>
  <c r="AP203" i="174"/>
  <c r="AO203" i="174"/>
  <c r="AL203" i="174"/>
  <c r="AK203" i="174"/>
  <c r="AJ203" i="174"/>
  <c r="AI203" i="174"/>
  <c r="AH203" i="174"/>
  <c r="AG203" i="174"/>
  <c r="AF203" i="174"/>
  <c r="AD203" i="174"/>
  <c r="AC203" i="174"/>
  <c r="AB203" i="174"/>
  <c r="AA203" i="174"/>
  <c r="Z203" i="174"/>
  <c r="G203" i="174"/>
  <c r="EC202" i="174"/>
  <c r="DU202" i="174"/>
  <c r="DO202" i="174"/>
  <c r="DK202" i="174"/>
  <c r="DG202" i="174"/>
  <c r="DE202" i="174"/>
  <c r="CZ202" i="174"/>
  <c r="CY202" i="174"/>
  <c r="CX202" i="174"/>
  <c r="CS202" i="174"/>
  <c r="CO202" i="174"/>
  <c r="BW202" i="174"/>
  <c r="BO202" i="174"/>
  <c r="BM202" i="174"/>
  <c r="BH202" i="174"/>
  <c r="BG202" i="174"/>
  <c r="BF202" i="174"/>
  <c r="BA202" i="174"/>
  <c r="AY202" i="174"/>
  <c r="AW202" i="174"/>
  <c r="AR202" i="174"/>
  <c r="AQ202" i="174"/>
  <c r="AP202" i="174"/>
  <c r="AK202" i="174"/>
  <c r="AJ202" i="174"/>
  <c r="AI202" i="174"/>
  <c r="AH202" i="174"/>
  <c r="AG202" i="174"/>
  <c r="AD202" i="174"/>
  <c r="AB202" i="174"/>
  <c r="Z202" i="174"/>
  <c r="G202" i="174"/>
  <c r="DU201" i="174"/>
  <c r="DR201" i="174"/>
  <c r="DM201" i="174"/>
  <c r="DG201" i="174"/>
  <c r="DF201" i="174"/>
  <c r="DE201" i="174"/>
  <c r="DC201" i="174"/>
  <c r="DB201" i="174"/>
  <c r="DA201" i="174"/>
  <c r="CZ201" i="174"/>
  <c r="CY201" i="174"/>
  <c r="CX201" i="174"/>
  <c r="CW201" i="174"/>
  <c r="CV201" i="174"/>
  <c r="CS201" i="174"/>
  <c r="CR201" i="174"/>
  <c r="CQ201" i="174"/>
  <c r="CP201" i="174"/>
  <c r="CO201" i="174"/>
  <c r="CK201" i="174"/>
  <c r="CJ201" i="174"/>
  <c r="BZ201" i="174"/>
  <c r="BU201" i="174"/>
  <c r="BO201" i="174"/>
  <c r="BN201" i="174"/>
  <c r="BM201" i="174"/>
  <c r="BK201" i="174"/>
  <c r="BJ201" i="174"/>
  <c r="BI201" i="174"/>
  <c r="BH201" i="174"/>
  <c r="BG201" i="174"/>
  <c r="BF201" i="174"/>
  <c r="BE201" i="174"/>
  <c r="BD201" i="174"/>
  <c r="BA201" i="174"/>
  <c r="AZ201" i="174"/>
  <c r="AY201" i="174"/>
  <c r="AX201" i="174"/>
  <c r="AW201" i="174"/>
  <c r="AR201" i="174"/>
  <c r="AQ201" i="174"/>
  <c r="AP201" i="174"/>
  <c r="AM201" i="174"/>
  <c r="AL201" i="174"/>
  <c r="AK201" i="174"/>
  <c r="AJ201" i="174"/>
  <c r="AI201" i="174"/>
  <c r="AH201" i="174"/>
  <c r="AG201" i="174"/>
  <c r="AE201" i="174"/>
  <c r="AD201" i="174"/>
  <c r="AC201" i="174"/>
  <c r="AB201" i="174"/>
  <c r="Z201" i="174"/>
  <c r="G201" i="174"/>
  <c r="DU200" i="174"/>
  <c r="DR200" i="174"/>
  <c r="DK200" i="174"/>
  <c r="DG200" i="174"/>
  <c r="DF200" i="174"/>
  <c r="DE200" i="174"/>
  <c r="DB200" i="174"/>
  <c r="DA200" i="174"/>
  <c r="CY200" i="174"/>
  <c r="CX200" i="174"/>
  <c r="CW200" i="174"/>
  <c r="CV200" i="174"/>
  <c r="CU200" i="174"/>
  <c r="CS200" i="174"/>
  <c r="CQ200" i="174"/>
  <c r="CP200" i="174"/>
  <c r="CO200" i="174"/>
  <c r="CC200" i="174"/>
  <c r="BZ200" i="174"/>
  <c r="BU200" i="174"/>
  <c r="BN200" i="174"/>
  <c r="BM200" i="174"/>
  <c r="BJ200" i="174"/>
  <c r="BI200" i="174"/>
  <c r="BG200" i="174"/>
  <c r="BF200" i="174"/>
  <c r="BE200" i="174"/>
  <c r="BD200" i="174"/>
  <c r="BC200" i="174"/>
  <c r="BA200" i="174"/>
  <c r="AY200" i="174"/>
  <c r="AX200" i="174"/>
  <c r="AW200" i="174"/>
  <c r="AR200" i="174"/>
  <c r="AQ200" i="174"/>
  <c r="AP200" i="174"/>
  <c r="AO200" i="174"/>
  <c r="AM200" i="174"/>
  <c r="AL200" i="174"/>
  <c r="AK200" i="174"/>
  <c r="AJ200" i="174"/>
  <c r="AI200" i="174"/>
  <c r="AH200" i="174"/>
  <c r="AG200" i="174"/>
  <c r="AE200" i="174"/>
  <c r="AB200" i="174"/>
  <c r="Z200" i="174"/>
  <c r="G200" i="174"/>
  <c r="EC199" i="174"/>
  <c r="DR199" i="174"/>
  <c r="DM199" i="174"/>
  <c r="DL199" i="174"/>
  <c r="DK199" i="174"/>
  <c r="DG199" i="174"/>
  <c r="DF199" i="174"/>
  <c r="DE199" i="174"/>
  <c r="DC199" i="174"/>
  <c r="DB199" i="174"/>
  <c r="DA199" i="174"/>
  <c r="CZ199" i="174"/>
  <c r="CY199" i="174"/>
  <c r="CX199" i="174"/>
  <c r="CX205" i="174" s="1"/>
  <c r="CX207" i="174" s="1"/>
  <c r="CW199" i="174"/>
  <c r="CV199" i="174"/>
  <c r="CU199" i="174"/>
  <c r="CT199" i="174"/>
  <c r="CQ199" i="174"/>
  <c r="CP199" i="174"/>
  <c r="CO199" i="174"/>
  <c r="BZ199" i="174"/>
  <c r="BU199" i="174"/>
  <c r="BS199" i="174"/>
  <c r="BO199" i="174"/>
  <c r="BN199" i="174"/>
  <c r="BM199" i="174"/>
  <c r="BK199" i="174"/>
  <c r="BJ199" i="174"/>
  <c r="BI199" i="174"/>
  <c r="BG199" i="174"/>
  <c r="BG205" i="174" s="1"/>
  <c r="BG207" i="174" s="1"/>
  <c r="BF199" i="174"/>
  <c r="BF205" i="174" s="1"/>
  <c r="BF207" i="174" s="1"/>
  <c r="BE199" i="174"/>
  <c r="BD199" i="174"/>
  <c r="BC199" i="174"/>
  <c r="BB199" i="174"/>
  <c r="AY199" i="174"/>
  <c r="AX199" i="174"/>
  <c r="AW199" i="174"/>
  <c r="AR199" i="174"/>
  <c r="AR205" i="174" s="1"/>
  <c r="AR207" i="174" s="1"/>
  <c r="AQ199" i="174"/>
  <c r="AP199" i="174"/>
  <c r="AP205" i="174" s="1"/>
  <c r="AP207" i="174" s="1"/>
  <c r="AM199" i="174"/>
  <c r="AL199" i="174"/>
  <c r="AK199" i="174"/>
  <c r="AK205" i="174" s="1"/>
  <c r="AK207" i="174" s="1"/>
  <c r="AJ199" i="174"/>
  <c r="AI199" i="174"/>
  <c r="AH199" i="174"/>
  <c r="AH205" i="174" s="1"/>
  <c r="AH207" i="174" s="1"/>
  <c r="AG199" i="174"/>
  <c r="AG205" i="174" s="1"/>
  <c r="AG207" i="174" s="1"/>
  <c r="AF199" i="174"/>
  <c r="AD199" i="174"/>
  <c r="AD205" i="174" s="1"/>
  <c r="AD207" i="174" s="1"/>
  <c r="AB199" i="174"/>
  <c r="AB205" i="174" s="1"/>
  <c r="AB207" i="174" s="1"/>
  <c r="AA199" i="174"/>
  <c r="Z199" i="174"/>
  <c r="Z205" i="174" s="1"/>
  <c r="Z207" i="174" s="1"/>
  <c r="G199" i="174"/>
  <c r="G205" i="174" s="1"/>
  <c r="G207" i="174" s="1"/>
  <c r="BG197" i="174"/>
  <c r="BG208" i="174" s="1"/>
  <c r="DR195" i="174"/>
  <c r="DK195" i="174"/>
  <c r="DG195" i="174"/>
  <c r="DF195" i="174"/>
  <c r="DE195" i="174"/>
  <c r="DB195" i="174"/>
  <c r="DA195" i="174"/>
  <c r="CY195" i="174"/>
  <c r="CX195" i="174"/>
  <c r="CW195" i="174"/>
  <c r="CV195" i="174"/>
  <c r="CU195" i="174"/>
  <c r="CP195" i="174"/>
  <c r="CO195" i="174"/>
  <c r="BZ195" i="174"/>
  <c r="BN195" i="174"/>
  <c r="BM195" i="174"/>
  <c r="BJ195" i="174"/>
  <c r="BI195" i="174"/>
  <c r="BG195" i="174"/>
  <c r="BF195" i="174"/>
  <c r="BE195" i="174"/>
  <c r="BD195" i="174"/>
  <c r="BC195" i="174"/>
  <c r="AX195" i="174"/>
  <c r="AW195" i="174"/>
  <c r="AR195" i="174"/>
  <c r="AQ195" i="174"/>
  <c r="AP195" i="174"/>
  <c r="AM195" i="174"/>
  <c r="AL195" i="174"/>
  <c r="AK195" i="174"/>
  <c r="AJ195" i="174"/>
  <c r="AI195" i="174"/>
  <c r="AH195" i="174"/>
  <c r="AG195" i="174"/>
  <c r="AB195" i="174"/>
  <c r="AA195" i="174"/>
  <c r="Z195" i="174"/>
  <c r="G195" i="174"/>
  <c r="ED194" i="174"/>
  <c r="EC194" i="174"/>
  <c r="EB194" i="174"/>
  <c r="EA194" i="174"/>
  <c r="DZ194" i="174"/>
  <c r="DY194" i="174"/>
  <c r="DX194" i="174"/>
  <c r="DW194" i="174"/>
  <c r="DV194" i="174"/>
  <c r="DT194" i="174"/>
  <c r="DS194" i="174"/>
  <c r="DQ194" i="174"/>
  <c r="DP194" i="174"/>
  <c r="DO194" i="174"/>
  <c r="DN194" i="174"/>
  <c r="CN194" i="174"/>
  <c r="CM194" i="174"/>
  <c r="DI194" i="174" s="1"/>
  <c r="CL194" i="174"/>
  <c r="CI194" i="174"/>
  <c r="CH194" i="174"/>
  <c r="CG194" i="174"/>
  <c r="CF194" i="174"/>
  <c r="CE194" i="174"/>
  <c r="CD194" i="174"/>
  <c r="CC194" i="174"/>
  <c r="CB194" i="174"/>
  <c r="CA194" i="174"/>
  <c r="BY194" i="174"/>
  <c r="BX194" i="174"/>
  <c r="BW194" i="174"/>
  <c r="BV194" i="174"/>
  <c r="BT194" i="174"/>
  <c r="BS194" i="174"/>
  <c r="AV194" i="174"/>
  <c r="AU194" i="174"/>
  <c r="BQ194" i="174" s="1"/>
  <c r="AC194" i="174"/>
  <c r="Y194" i="174"/>
  <c r="H194" i="174"/>
  <c r="EC193" i="174"/>
  <c r="EB193" i="174"/>
  <c r="EA193" i="174"/>
  <c r="DZ193" i="174"/>
  <c r="DY193" i="174"/>
  <c r="DX193" i="174"/>
  <c r="DW193" i="174"/>
  <c r="DV193" i="174"/>
  <c r="DT193" i="174"/>
  <c r="DS193" i="174"/>
  <c r="DQ193" i="174"/>
  <c r="DP193" i="174"/>
  <c r="DO193" i="174"/>
  <c r="DN193" i="174"/>
  <c r="DH193" i="174"/>
  <c r="CN193" i="174" s="1"/>
  <c r="CI193" i="174"/>
  <c r="CH193" i="174"/>
  <c r="CG193" i="174"/>
  <c r="CF193" i="174"/>
  <c r="CE193" i="174"/>
  <c r="CD193" i="174"/>
  <c r="CC193" i="174"/>
  <c r="CB193" i="174"/>
  <c r="CA193" i="174"/>
  <c r="BY193" i="174"/>
  <c r="BX193" i="174"/>
  <c r="BW193" i="174"/>
  <c r="BV193" i="174"/>
  <c r="BT193" i="174"/>
  <c r="BS193" i="174"/>
  <c r="BP193" i="174"/>
  <c r="AV193" i="174" s="1"/>
  <c r="AS193" i="174"/>
  <c r="ED192" i="174"/>
  <c r="EC192" i="174"/>
  <c r="EC201" i="174" s="1"/>
  <c r="EB192" i="174"/>
  <c r="EA192" i="174"/>
  <c r="DY192" i="174"/>
  <c r="DX192" i="174"/>
  <c r="DW192" i="174"/>
  <c r="DV192" i="174"/>
  <c r="DT192" i="174"/>
  <c r="DS192" i="174"/>
  <c r="DQ192" i="174"/>
  <c r="DP192" i="174"/>
  <c r="DO192" i="174"/>
  <c r="DN192" i="174"/>
  <c r="CL192" i="174"/>
  <c r="CI192" i="174"/>
  <c r="CG192" i="174"/>
  <c r="CF192" i="174"/>
  <c r="CE192" i="174"/>
  <c r="CD192" i="174"/>
  <c r="CC192" i="174"/>
  <c r="CB192" i="174"/>
  <c r="CA192" i="174"/>
  <c r="BY192" i="174"/>
  <c r="BX192" i="174"/>
  <c r="BW192" i="174"/>
  <c r="BW201" i="174" s="1"/>
  <c r="BV192" i="174"/>
  <c r="BT192" i="174"/>
  <c r="BS192" i="174"/>
  <c r="BL192" i="174"/>
  <c r="AV192" i="174" s="1"/>
  <c r="AO192" i="174"/>
  <c r="AO201" i="174" s="1"/>
  <c r="Y192" i="174"/>
  <c r="ED191" i="174"/>
  <c r="EC191" i="174"/>
  <c r="EB191" i="174"/>
  <c r="EA191" i="174"/>
  <c r="DZ191" i="174"/>
  <c r="DY191" i="174"/>
  <c r="DX191" i="174"/>
  <c r="DW191" i="174"/>
  <c r="DV191" i="174"/>
  <c r="DT191" i="174"/>
  <c r="DS191" i="174"/>
  <c r="DQ191" i="174"/>
  <c r="DO191" i="174"/>
  <c r="DN191" i="174"/>
  <c r="CN191" i="174"/>
  <c r="CL191" i="174"/>
  <c r="CI191" i="174"/>
  <c r="CH191" i="174"/>
  <c r="CG191" i="174"/>
  <c r="CF191" i="174"/>
  <c r="CE191" i="174"/>
  <c r="CD191" i="174"/>
  <c r="CC191" i="174"/>
  <c r="CB191" i="174"/>
  <c r="CA191" i="174"/>
  <c r="BY191" i="174"/>
  <c r="BW191" i="174"/>
  <c r="BV191" i="174"/>
  <c r="BT191" i="174"/>
  <c r="BS191" i="174"/>
  <c r="AV191" i="174"/>
  <c r="AE191" i="174"/>
  <c r="ED190" i="174"/>
  <c r="EC190" i="174"/>
  <c r="EB190" i="174"/>
  <c r="EA190" i="174"/>
  <c r="DZ190" i="174"/>
  <c r="DX190" i="174"/>
  <c r="DW190" i="174"/>
  <c r="DV190" i="174"/>
  <c r="DT190" i="174"/>
  <c r="DS190" i="174"/>
  <c r="DQ190" i="174"/>
  <c r="DP190" i="174"/>
  <c r="DO190" i="174"/>
  <c r="DN190" i="174"/>
  <c r="DC190" i="174"/>
  <c r="CN190" i="174"/>
  <c r="CL190" i="174"/>
  <c r="CI190" i="174"/>
  <c r="CH190" i="174"/>
  <c r="CF190" i="174"/>
  <c r="CE190" i="174"/>
  <c r="CD190" i="174"/>
  <c r="CC190" i="174"/>
  <c r="CB190" i="174"/>
  <c r="CA190" i="174"/>
  <c r="BY190" i="174"/>
  <c r="BX190" i="174"/>
  <c r="BW190" i="174"/>
  <c r="BV190" i="174"/>
  <c r="BT190" i="174"/>
  <c r="BS190" i="174"/>
  <c r="BK190" i="174"/>
  <c r="Y190" i="174"/>
  <c r="ED189" i="174"/>
  <c r="EC189" i="174"/>
  <c r="EB189" i="174"/>
  <c r="EA189" i="174"/>
  <c r="DZ189" i="174"/>
  <c r="DY189" i="174"/>
  <c r="DX189" i="174"/>
  <c r="DW189" i="174"/>
  <c r="DV189" i="174"/>
  <c r="DT189" i="174"/>
  <c r="DS189" i="174"/>
  <c r="DQ189" i="174"/>
  <c r="DP189" i="174"/>
  <c r="DO189" i="174"/>
  <c r="DN189" i="174"/>
  <c r="DJ189" i="174"/>
  <c r="DI189" i="174"/>
  <c r="CN189" i="174"/>
  <c r="CM189" i="174"/>
  <c r="CL189" i="174"/>
  <c r="CI189" i="174"/>
  <c r="CH189" i="174"/>
  <c r="CG189" i="174"/>
  <c r="CF189" i="174"/>
  <c r="CE189" i="174"/>
  <c r="CD189" i="174"/>
  <c r="CC189" i="174"/>
  <c r="CB189" i="174"/>
  <c r="CA189" i="174"/>
  <c r="BY189" i="174"/>
  <c r="BX189" i="174"/>
  <c r="BW189" i="174"/>
  <c r="BV189" i="174"/>
  <c r="BT189" i="174"/>
  <c r="BS189" i="174"/>
  <c r="BQ189" i="174"/>
  <c r="AV189" i="174"/>
  <c r="AU189" i="174" s="1"/>
  <c r="Y189" i="174"/>
  <c r="I189" i="174"/>
  <c r="H189" i="174"/>
  <c r="ED188" i="174"/>
  <c r="EC188" i="174"/>
  <c r="EB188" i="174"/>
  <c r="EA188" i="174"/>
  <c r="DZ188" i="174"/>
  <c r="DY188" i="174"/>
  <c r="DX188" i="174"/>
  <c r="DW188" i="174"/>
  <c r="DV188" i="174"/>
  <c r="DT188" i="174"/>
  <c r="DS188" i="174"/>
  <c r="DQ188" i="174"/>
  <c r="DO188" i="174"/>
  <c r="DN188" i="174"/>
  <c r="CN188" i="174"/>
  <c r="CL188" i="174"/>
  <c r="CI188" i="174"/>
  <c r="CH188" i="174"/>
  <c r="CG188" i="174"/>
  <c r="CF188" i="174"/>
  <c r="CE188" i="174"/>
  <c r="CD188" i="174"/>
  <c r="CC188" i="174"/>
  <c r="CB188" i="174"/>
  <c r="CA188" i="174"/>
  <c r="BY188" i="174"/>
  <c r="BW188" i="174"/>
  <c r="BV188" i="174"/>
  <c r="BT188" i="174"/>
  <c r="BS188" i="174"/>
  <c r="Y188" i="174"/>
  <c r="ED187" i="174"/>
  <c r="EC187" i="174"/>
  <c r="EB187" i="174"/>
  <c r="EA187" i="174"/>
  <c r="DZ187" i="174"/>
  <c r="DY187" i="174"/>
  <c r="DX187" i="174"/>
  <c r="DW187" i="174"/>
  <c r="DV187" i="174"/>
  <c r="DT187" i="174"/>
  <c r="DS187" i="174"/>
  <c r="DQ187" i="174"/>
  <c r="DP187" i="174"/>
  <c r="DO187" i="174"/>
  <c r="DN187" i="174"/>
  <c r="DJ187" i="174" s="1"/>
  <c r="CN187" i="174"/>
  <c r="CL187" i="174"/>
  <c r="CI187" i="174"/>
  <c r="CH187" i="174"/>
  <c r="CG187" i="174"/>
  <c r="CF187" i="174"/>
  <c r="CE187" i="174"/>
  <c r="CD187" i="174"/>
  <c r="CC187" i="174"/>
  <c r="CB187" i="174"/>
  <c r="CA187" i="174"/>
  <c r="BY187" i="174"/>
  <c r="BX187" i="174"/>
  <c r="BW187" i="174"/>
  <c r="BV187" i="174"/>
  <c r="BT187" i="174"/>
  <c r="BS187" i="174"/>
  <c r="AV187" i="174"/>
  <c r="Y187" i="174"/>
  <c r="AU187" i="174" s="1"/>
  <c r="BQ187" i="174" s="1"/>
  <c r="ED186" i="174"/>
  <c r="EC186" i="174"/>
  <c r="EB186" i="174"/>
  <c r="EA186" i="174"/>
  <c r="DZ186" i="174"/>
  <c r="DY186" i="174"/>
  <c r="DX186" i="174"/>
  <c r="DW186" i="174"/>
  <c r="DV186" i="174"/>
  <c r="DT186" i="174"/>
  <c r="DS186" i="174"/>
  <c r="DQ186" i="174"/>
  <c r="DP186" i="174"/>
  <c r="DO186" i="174"/>
  <c r="DN186" i="174"/>
  <c r="CN186" i="174"/>
  <c r="CL186" i="174"/>
  <c r="CI186" i="174"/>
  <c r="CH186" i="174"/>
  <c r="CG186" i="174"/>
  <c r="CF186" i="174"/>
  <c r="CE186" i="174"/>
  <c r="CD186" i="174"/>
  <c r="CC186" i="174"/>
  <c r="CB186" i="174"/>
  <c r="CA186" i="174"/>
  <c r="BY186" i="174"/>
  <c r="BX186" i="174"/>
  <c r="BW186" i="174"/>
  <c r="BV186" i="174"/>
  <c r="BT186" i="174"/>
  <c r="BS186" i="174"/>
  <c r="AV186" i="174"/>
  <c r="Y186" i="174"/>
  <c r="H186" i="174"/>
  <c r="ED185" i="174"/>
  <c r="EC185" i="174"/>
  <c r="EB185" i="174"/>
  <c r="EA185" i="174"/>
  <c r="DZ185" i="174"/>
  <c r="DY185" i="174"/>
  <c r="DX185" i="174"/>
  <c r="DW185" i="174"/>
  <c r="DV185" i="174"/>
  <c r="DT185" i="174"/>
  <c r="DS185" i="174"/>
  <c r="DQ185" i="174"/>
  <c r="DP185" i="174"/>
  <c r="DO185" i="174"/>
  <c r="DN185" i="174"/>
  <c r="CT185" i="174"/>
  <c r="CN185" i="174" s="1"/>
  <c r="CL185" i="174"/>
  <c r="CI185" i="174"/>
  <c r="CH185" i="174"/>
  <c r="CG185" i="174"/>
  <c r="CF185" i="174"/>
  <c r="CE185" i="174"/>
  <c r="CD185" i="174"/>
  <c r="CC185" i="174"/>
  <c r="CB185" i="174"/>
  <c r="CA185" i="174"/>
  <c r="BY185" i="174"/>
  <c r="BW185" i="174"/>
  <c r="BV185" i="174"/>
  <c r="BT185" i="174"/>
  <c r="BS185" i="174"/>
  <c r="BB185" i="174"/>
  <c r="Y185" i="174"/>
  <c r="ED184" i="174"/>
  <c r="EC184" i="174"/>
  <c r="EB184" i="174"/>
  <c r="EA184" i="174"/>
  <c r="DZ184" i="174"/>
  <c r="DY184" i="174"/>
  <c r="DX184" i="174"/>
  <c r="DW184" i="174"/>
  <c r="DV184" i="174"/>
  <c r="DT184" i="174"/>
  <c r="DS184" i="174"/>
  <c r="DQ184" i="174"/>
  <c r="DP184" i="174"/>
  <c r="DO184" i="174"/>
  <c r="CN184" i="174"/>
  <c r="CL184" i="174"/>
  <c r="CI184" i="174"/>
  <c r="CH184" i="174"/>
  <c r="CG184" i="174"/>
  <c r="CF184" i="174"/>
  <c r="CE184" i="174"/>
  <c r="CD184" i="174"/>
  <c r="CC184" i="174"/>
  <c r="CB184" i="174"/>
  <c r="CA184" i="174"/>
  <c r="BY184" i="174"/>
  <c r="BX184" i="174"/>
  <c r="BW184" i="174"/>
  <c r="BT184" i="174"/>
  <c r="BS184" i="174"/>
  <c r="AV184" i="174"/>
  <c r="AC184" i="174"/>
  <c r="DN184" i="174" s="1"/>
  <c r="H184" i="174"/>
  <c r="ED183" i="174"/>
  <c r="EC183" i="174"/>
  <c r="EB183" i="174"/>
  <c r="EA183" i="174"/>
  <c r="DZ183" i="174"/>
  <c r="DY183" i="174"/>
  <c r="DX183" i="174"/>
  <c r="DW183" i="174"/>
  <c r="DV183" i="174"/>
  <c r="DT183" i="174"/>
  <c r="DS183" i="174"/>
  <c r="DQ183" i="174"/>
  <c r="DO183" i="174"/>
  <c r="DN183" i="174"/>
  <c r="CT183" i="174"/>
  <c r="CL183" i="174"/>
  <c r="CI183" i="174"/>
  <c r="CH183" i="174"/>
  <c r="CG183" i="174"/>
  <c r="CF183" i="174"/>
  <c r="CE183" i="174"/>
  <c r="CD183" i="174"/>
  <c r="CC183" i="174"/>
  <c r="CB183" i="174"/>
  <c r="CA183" i="174"/>
  <c r="BY183" i="174"/>
  <c r="BW183" i="174"/>
  <c r="BV183" i="174"/>
  <c r="BT183" i="174"/>
  <c r="BS183" i="174"/>
  <c r="BB183" i="174"/>
  <c r="Y183" i="174"/>
  <c r="ED182" i="174"/>
  <c r="EC182" i="174"/>
  <c r="EB182" i="174"/>
  <c r="EA182" i="174"/>
  <c r="DZ182" i="174"/>
  <c r="DY182" i="174"/>
  <c r="DX182" i="174"/>
  <c r="DW182" i="174"/>
  <c r="DV182" i="174"/>
  <c r="DT182" i="174"/>
  <c r="DS182" i="174"/>
  <c r="DQ182" i="174"/>
  <c r="DP182" i="174"/>
  <c r="DO182" i="174"/>
  <c r="CN182" i="174"/>
  <c r="CL182" i="174"/>
  <c r="CK182" i="174"/>
  <c r="CI182" i="174"/>
  <c r="CH182" i="174"/>
  <c r="CG182" i="174"/>
  <c r="CF182" i="174"/>
  <c r="CE182" i="174"/>
  <c r="CD182" i="174"/>
  <c r="CC182" i="174"/>
  <c r="CB182" i="174"/>
  <c r="CA182" i="174"/>
  <c r="BY182" i="174"/>
  <c r="BX182" i="174"/>
  <c r="BW182" i="174"/>
  <c r="BV182" i="174"/>
  <c r="BT182" i="174"/>
  <c r="BS182" i="174"/>
  <c r="BR182" i="174" s="1"/>
  <c r="AV182" i="174"/>
  <c r="AC182" i="174"/>
  <c r="DN182" i="174" s="1"/>
  <c r="H182" i="174"/>
  <c r="ED181" i="174"/>
  <c r="EC181" i="174"/>
  <c r="EB181" i="174"/>
  <c r="EA181" i="174"/>
  <c r="DZ181" i="174"/>
  <c r="DY181" i="174"/>
  <c r="DX181" i="174"/>
  <c r="DW181" i="174"/>
  <c r="DV181" i="174"/>
  <c r="DT181" i="174"/>
  <c r="DS181" i="174"/>
  <c r="DQ181" i="174"/>
  <c r="DP181" i="174"/>
  <c r="DO181" i="174"/>
  <c r="DN181" i="174"/>
  <c r="DJ181" i="174"/>
  <c r="CN181" i="174"/>
  <c r="CL181" i="174"/>
  <c r="CK181" i="174"/>
  <c r="CI181" i="174"/>
  <c r="CH181" i="174"/>
  <c r="CG181" i="174"/>
  <c r="CF181" i="174"/>
  <c r="CE181" i="174"/>
  <c r="CD181" i="174"/>
  <c r="CC181" i="174"/>
  <c r="CB181" i="174"/>
  <c r="CA181" i="174"/>
  <c r="BY181" i="174"/>
  <c r="BX181" i="174"/>
  <c r="BW181" i="174"/>
  <c r="BV181" i="174"/>
  <c r="BR181" i="174" s="1"/>
  <c r="BT181" i="174"/>
  <c r="BS181" i="174"/>
  <c r="AV181" i="174"/>
  <c r="AU181" i="174" s="1"/>
  <c r="BQ181" i="174" s="1"/>
  <c r="AC181" i="174"/>
  <c r="Y181" i="174"/>
  <c r="ED180" i="174"/>
  <c r="EC180" i="174"/>
  <c r="EB180" i="174"/>
  <c r="EA180" i="174"/>
  <c r="DZ180" i="174"/>
  <c r="DY180" i="174"/>
  <c r="DX180" i="174"/>
  <c r="DW180" i="174"/>
  <c r="DV180" i="174"/>
  <c r="DT180" i="174"/>
  <c r="DS180" i="174"/>
  <c r="DQ180" i="174"/>
  <c r="DP180" i="174"/>
  <c r="DO180" i="174"/>
  <c r="CN180" i="174"/>
  <c r="CL180" i="174"/>
  <c r="CK180" i="174"/>
  <c r="CI180" i="174"/>
  <c r="CH180" i="174"/>
  <c r="CG180" i="174"/>
  <c r="CF180" i="174"/>
  <c r="CE180" i="174"/>
  <c r="CD180" i="174"/>
  <c r="CC180" i="174"/>
  <c r="CB180" i="174"/>
  <c r="CA180" i="174"/>
  <c r="BY180" i="174"/>
  <c r="BX180" i="174"/>
  <c r="BW180" i="174"/>
  <c r="BT180" i="174"/>
  <c r="BS180" i="174"/>
  <c r="AV180" i="174"/>
  <c r="AC180" i="174"/>
  <c r="H180" i="174"/>
  <c r="ED179" i="174"/>
  <c r="EC179" i="174"/>
  <c r="EB179" i="174"/>
  <c r="EA179" i="174"/>
  <c r="DZ179" i="174"/>
  <c r="DY179" i="174"/>
  <c r="DX179" i="174"/>
  <c r="DW179" i="174"/>
  <c r="DV179" i="174"/>
  <c r="DT179" i="174"/>
  <c r="DS179" i="174"/>
  <c r="DQ179" i="174"/>
  <c r="DP179" i="174"/>
  <c r="DO179" i="174"/>
  <c r="DJ179" i="174" s="1"/>
  <c r="DN179" i="174"/>
  <c r="CN179" i="174"/>
  <c r="CL179" i="174"/>
  <c r="CK179" i="174"/>
  <c r="CI179" i="174"/>
  <c r="CH179" i="174"/>
  <c r="CG179" i="174"/>
  <c r="CF179" i="174"/>
  <c r="CE179" i="174"/>
  <c r="CD179" i="174"/>
  <c r="CC179" i="174"/>
  <c r="CB179" i="174"/>
  <c r="CA179" i="174"/>
  <c r="BY179" i="174"/>
  <c r="BX179" i="174"/>
  <c r="BW179" i="174"/>
  <c r="BV179" i="174"/>
  <c r="BT179" i="174"/>
  <c r="BS179" i="174"/>
  <c r="AV179" i="174"/>
  <c r="AU179" i="174" s="1"/>
  <c r="BQ179" i="174" s="1"/>
  <c r="Y179" i="174"/>
  <c r="ED178" i="174"/>
  <c r="EC178" i="174"/>
  <c r="EB178" i="174"/>
  <c r="EA178" i="174"/>
  <c r="DZ178" i="174"/>
  <c r="DY178" i="174"/>
  <c r="DX178" i="174"/>
  <c r="DW178" i="174"/>
  <c r="DV178" i="174"/>
  <c r="DT178" i="174"/>
  <c r="DS178" i="174"/>
  <c r="DQ178" i="174"/>
  <c r="DP178" i="174"/>
  <c r="DO178" i="174"/>
  <c r="CN178" i="174"/>
  <c r="CL178" i="174"/>
  <c r="CK178" i="174"/>
  <c r="CI178" i="174"/>
  <c r="CG178" i="174"/>
  <c r="CF178" i="174"/>
  <c r="CE178" i="174"/>
  <c r="CD178" i="174"/>
  <c r="CC178" i="174"/>
  <c r="CB178" i="174"/>
  <c r="CA178" i="174"/>
  <c r="BY178" i="174"/>
  <c r="BW178" i="174"/>
  <c r="BT178" i="174"/>
  <c r="BS178" i="174"/>
  <c r="CH178" i="174"/>
  <c r="AE178" i="174"/>
  <c r="BX178" i="174" s="1"/>
  <c r="AC178" i="174"/>
  <c r="BV178" i="174" s="1"/>
  <c r="ED177" i="174"/>
  <c r="EC177" i="174"/>
  <c r="EB177" i="174"/>
  <c r="EA177" i="174"/>
  <c r="DZ177" i="174"/>
  <c r="DY177" i="174"/>
  <c r="DX177" i="174"/>
  <c r="DW177" i="174"/>
  <c r="DV177" i="174"/>
  <c r="DT177" i="174"/>
  <c r="DS177" i="174"/>
  <c r="DQ177" i="174"/>
  <c r="DO177" i="174"/>
  <c r="DN177" i="174"/>
  <c r="DL177" i="174"/>
  <c r="CT177" i="174"/>
  <c r="CN177" i="174" s="1"/>
  <c r="H177" i="174" s="1"/>
  <c r="CL177" i="174"/>
  <c r="CK177" i="174"/>
  <c r="CI177" i="174"/>
  <c r="CG177" i="174"/>
  <c r="CF177" i="174"/>
  <c r="CE177" i="174"/>
  <c r="CD177" i="174"/>
  <c r="CC177" i="174"/>
  <c r="CB177" i="174"/>
  <c r="CA177" i="174"/>
  <c r="BY177" i="174"/>
  <c r="BW177" i="174"/>
  <c r="BV177" i="174"/>
  <c r="BT177" i="174"/>
  <c r="BS177" i="174"/>
  <c r="BL177" i="174"/>
  <c r="CH177" i="174" s="1"/>
  <c r="BB177" i="174"/>
  <c r="AV177" i="174" s="1"/>
  <c r="AE177" i="174"/>
  <c r="CN176" i="174"/>
  <c r="BV176" i="174"/>
  <c r="BR176" i="174" s="1"/>
  <c r="AV176" i="174"/>
  <c r="AC176" i="174"/>
  <c r="H176" i="174"/>
  <c r="CN175" i="174"/>
  <c r="AV175" i="174"/>
  <c r="AC175" i="174"/>
  <c r="H175" i="174"/>
  <c r="DN174" i="174"/>
  <c r="DJ174" i="174" s="1"/>
  <c r="CN174" i="174"/>
  <c r="H174" i="174" s="1"/>
  <c r="BR174" i="174"/>
  <c r="AV174" i="174"/>
  <c r="AC174" i="174"/>
  <c r="BV174" i="174" s="1"/>
  <c r="ED173" i="174"/>
  <c r="EC173" i="174"/>
  <c r="EB173" i="174"/>
  <c r="EA173" i="174"/>
  <c r="DZ173" i="174"/>
  <c r="DY173" i="174"/>
  <c r="DX173" i="174"/>
  <c r="DW173" i="174"/>
  <c r="DW200" i="174" s="1"/>
  <c r="DV173" i="174"/>
  <c r="DT173" i="174"/>
  <c r="DS173" i="174"/>
  <c r="DQ173" i="174"/>
  <c r="DP173" i="174"/>
  <c r="DO173" i="174"/>
  <c r="DN173" i="174"/>
  <c r="DJ173" i="174"/>
  <c r="CN173" i="174"/>
  <c r="CL173" i="174"/>
  <c r="CI173" i="174"/>
  <c r="CH173" i="174"/>
  <c r="CG173" i="174"/>
  <c r="CF173" i="174"/>
  <c r="CE173" i="174"/>
  <c r="CD173" i="174"/>
  <c r="CC173" i="174"/>
  <c r="CB173" i="174"/>
  <c r="CA173" i="174"/>
  <c r="BY173" i="174"/>
  <c r="BX173" i="174"/>
  <c r="BW173" i="174"/>
  <c r="BV173" i="174"/>
  <c r="BT173" i="174"/>
  <c r="BS173" i="174"/>
  <c r="BO173" i="174"/>
  <c r="BO200" i="174" s="1"/>
  <c r="Y173" i="174"/>
  <c r="EC172" i="174"/>
  <c r="EB172" i="174"/>
  <c r="EA172" i="174"/>
  <c r="DZ172" i="174"/>
  <c r="DY172" i="174"/>
  <c r="DX172" i="174"/>
  <c r="DW172" i="174"/>
  <c r="DV172" i="174"/>
  <c r="DT172" i="174"/>
  <c r="DS172" i="174"/>
  <c r="DQ172" i="174"/>
  <c r="DP172" i="174"/>
  <c r="DO172" i="174"/>
  <c r="DN172" i="174"/>
  <c r="CK172" i="174"/>
  <c r="CI172" i="174"/>
  <c r="CH172" i="174"/>
  <c r="CG172" i="174"/>
  <c r="CF172" i="174"/>
  <c r="CE172" i="174"/>
  <c r="CD172" i="174"/>
  <c r="CC172" i="174"/>
  <c r="CB172" i="174"/>
  <c r="CA172" i="174"/>
  <c r="BY172" i="174"/>
  <c r="BX172" i="174"/>
  <c r="BW172" i="174"/>
  <c r="BV172" i="174"/>
  <c r="BT172" i="174"/>
  <c r="BS172" i="174"/>
  <c r="BP172" i="174"/>
  <c r="AV172" i="174" s="1"/>
  <c r="AS172" i="174"/>
  <c r="Y172" i="174"/>
  <c r="EC171" i="174"/>
  <c r="EB171" i="174"/>
  <c r="EA171" i="174"/>
  <c r="DZ171" i="174"/>
  <c r="DY171" i="174"/>
  <c r="DX171" i="174"/>
  <c r="DW171" i="174"/>
  <c r="DV171" i="174"/>
  <c r="DT171" i="174"/>
  <c r="DS171" i="174"/>
  <c r="DP171" i="174"/>
  <c r="DO171" i="174"/>
  <c r="DN171" i="174"/>
  <c r="CN171" i="174"/>
  <c r="CK171" i="174"/>
  <c r="CI171" i="174"/>
  <c r="CH171" i="174"/>
  <c r="CG171" i="174"/>
  <c r="CF171" i="174"/>
  <c r="CE171" i="174"/>
  <c r="CD171" i="174"/>
  <c r="CC171" i="174"/>
  <c r="CB171" i="174"/>
  <c r="CA171" i="174"/>
  <c r="BY171" i="174"/>
  <c r="BX171" i="174"/>
  <c r="BW171" i="174"/>
  <c r="BV171" i="174"/>
  <c r="BT171" i="174"/>
  <c r="BS171" i="174"/>
  <c r="BP171" i="174"/>
  <c r="AV171" i="174" s="1"/>
  <c r="AS171" i="174"/>
  <c r="AF171" i="174"/>
  <c r="DQ171" i="174" s="1"/>
  <c r="AC171" i="174"/>
  <c r="ED170" i="174"/>
  <c r="EC170" i="174"/>
  <c r="EB170" i="174"/>
  <c r="EA170" i="174"/>
  <c r="DY170" i="174"/>
  <c r="DX170" i="174"/>
  <c r="DW170" i="174"/>
  <c r="DV170" i="174"/>
  <c r="DT170" i="174"/>
  <c r="DS170" i="174"/>
  <c r="DQ170" i="174"/>
  <c r="DO170" i="174"/>
  <c r="DN170" i="174"/>
  <c r="DD170" i="174"/>
  <c r="DD200" i="174" s="1"/>
  <c r="CT170" i="174"/>
  <c r="CR170" i="174"/>
  <c r="CL170" i="174"/>
  <c r="CK170" i="174"/>
  <c r="CI170" i="174"/>
  <c r="CG170" i="174"/>
  <c r="CF170" i="174"/>
  <c r="CE170" i="174"/>
  <c r="CD170" i="174"/>
  <c r="CC170" i="174"/>
  <c r="CB170" i="174"/>
  <c r="CA170" i="174"/>
  <c r="BY170" i="174"/>
  <c r="BW170" i="174"/>
  <c r="BT170" i="174"/>
  <c r="BS170" i="174"/>
  <c r="BL170" i="174"/>
  <c r="BL200" i="174" s="1"/>
  <c r="Y170" i="174"/>
  <c r="EC169" i="174"/>
  <c r="EB169" i="174"/>
  <c r="EA169" i="174"/>
  <c r="DZ169" i="174"/>
  <c r="DY169" i="174"/>
  <c r="DX169" i="174"/>
  <c r="DW169" i="174"/>
  <c r="DV169" i="174"/>
  <c r="DT169" i="174"/>
  <c r="DS169" i="174"/>
  <c r="DQ169" i="174"/>
  <c r="DP169" i="174"/>
  <c r="DO169" i="174"/>
  <c r="DN169" i="174"/>
  <c r="DH169" i="174"/>
  <c r="CN169" i="174" s="1"/>
  <c r="CM169" i="174" s="1"/>
  <c r="DI169" i="174" s="1"/>
  <c r="CK169" i="174"/>
  <c r="CI169" i="174"/>
  <c r="CH169" i="174"/>
  <c r="CG169" i="174"/>
  <c r="CF169" i="174"/>
  <c r="CE169" i="174"/>
  <c r="CD169" i="174"/>
  <c r="CC169" i="174"/>
  <c r="CB169" i="174"/>
  <c r="CA169" i="174"/>
  <c r="BY169" i="174"/>
  <c r="BX169" i="174"/>
  <c r="BW169" i="174"/>
  <c r="BV169" i="174"/>
  <c r="BT169" i="174"/>
  <c r="BS169" i="174"/>
  <c r="BP169" i="174"/>
  <c r="AV169" i="174" s="1"/>
  <c r="AU169" i="174" s="1"/>
  <c r="BQ169" i="174" s="1"/>
  <c r="AS169" i="174"/>
  <c r="Y169" i="174" s="1"/>
  <c r="EC168" i="174"/>
  <c r="EB168" i="174"/>
  <c r="EA168" i="174"/>
  <c r="DZ168" i="174"/>
  <c r="DY168" i="174"/>
  <c r="DX168" i="174"/>
  <c r="DW168" i="174"/>
  <c r="DV168" i="174"/>
  <c r="DT168" i="174"/>
  <c r="DS168" i="174"/>
  <c r="DQ168" i="174"/>
  <c r="DP168" i="174"/>
  <c r="DO168" i="174"/>
  <c r="CK168" i="174"/>
  <c r="CI168" i="174"/>
  <c r="CH168" i="174"/>
  <c r="CG168" i="174"/>
  <c r="CF168" i="174"/>
  <c r="CE168" i="174"/>
  <c r="CD168" i="174"/>
  <c r="CC168" i="174"/>
  <c r="CB168" i="174"/>
  <c r="CA168" i="174"/>
  <c r="BY168" i="174"/>
  <c r="BX168" i="174"/>
  <c r="BW168" i="174"/>
  <c r="BV168" i="174"/>
  <c r="BT168" i="174"/>
  <c r="BS168" i="174"/>
  <c r="BP168" i="174"/>
  <c r="AZ168" i="174"/>
  <c r="AS168" i="174"/>
  <c r="CL168" i="174" s="1"/>
  <c r="AF168" i="174"/>
  <c r="AC168" i="174"/>
  <c r="Y168" i="174"/>
  <c r="ED167" i="174"/>
  <c r="EC167" i="174"/>
  <c r="EB167" i="174"/>
  <c r="EA167" i="174"/>
  <c r="DZ167" i="174"/>
  <c r="DY167" i="174"/>
  <c r="DX167" i="174"/>
  <c r="DW167" i="174"/>
  <c r="DV167" i="174"/>
  <c r="DT167" i="174"/>
  <c r="DS167" i="174"/>
  <c r="DP167" i="174"/>
  <c r="DO167" i="174"/>
  <c r="CR167" i="174"/>
  <c r="CN167" i="174" s="1"/>
  <c r="CM167" i="174" s="1"/>
  <c r="DI167" i="174" s="1"/>
  <c r="CL167" i="174"/>
  <c r="CK167" i="174"/>
  <c r="CI167" i="174"/>
  <c r="CH167" i="174"/>
  <c r="CG167" i="174"/>
  <c r="CF167" i="174"/>
  <c r="CE167" i="174"/>
  <c r="CD167" i="174"/>
  <c r="CC167" i="174"/>
  <c r="CB167" i="174"/>
  <c r="CA167" i="174"/>
  <c r="BY167" i="174"/>
  <c r="BX167" i="174"/>
  <c r="BW167" i="174"/>
  <c r="BT167" i="174"/>
  <c r="BS167" i="174"/>
  <c r="AZ167" i="174"/>
  <c r="AF167" i="174"/>
  <c r="DQ167" i="174" s="1"/>
  <c r="AC167" i="174"/>
  <c r="Y167" i="174" s="1"/>
  <c r="ED166" i="174"/>
  <c r="EC166" i="174"/>
  <c r="EB166" i="174"/>
  <c r="EA166" i="174"/>
  <c r="DZ166" i="174"/>
  <c r="DY166" i="174"/>
  <c r="DX166" i="174"/>
  <c r="DW166" i="174"/>
  <c r="DV166" i="174"/>
  <c r="DT166" i="174"/>
  <c r="DS166" i="174"/>
  <c r="DP166" i="174"/>
  <c r="DO166" i="174"/>
  <c r="DN166" i="174"/>
  <c r="DM166" i="174"/>
  <c r="DL166" i="174"/>
  <c r="CN166" i="174"/>
  <c r="CL166" i="174"/>
  <c r="CK166" i="174"/>
  <c r="CI166" i="174"/>
  <c r="CH166" i="174"/>
  <c r="CG166" i="174"/>
  <c r="CF166" i="174"/>
  <c r="CE166" i="174"/>
  <c r="CD166" i="174"/>
  <c r="CC166" i="174"/>
  <c r="CB166" i="174"/>
  <c r="CA166" i="174"/>
  <c r="BX166" i="174"/>
  <c r="BW166" i="174"/>
  <c r="BS166" i="174"/>
  <c r="AV166" i="174"/>
  <c r="AF166" i="174"/>
  <c r="AC166" i="174"/>
  <c r="BV166" i="174" s="1"/>
  <c r="AA166" i="174"/>
  <c r="BT166" i="174" s="1"/>
  <c r="H166" i="174"/>
  <c r="EC165" i="174"/>
  <c r="EB165" i="174"/>
  <c r="EA165" i="174"/>
  <c r="DZ165" i="174"/>
  <c r="DY165" i="174"/>
  <c r="DX165" i="174"/>
  <c r="DW165" i="174"/>
  <c r="DV165" i="174"/>
  <c r="DT165" i="174"/>
  <c r="DS165" i="174"/>
  <c r="DQ165" i="174"/>
  <c r="DP165" i="174"/>
  <c r="DO165" i="174"/>
  <c r="DN165" i="174"/>
  <c r="CK165" i="174"/>
  <c r="CI165" i="174"/>
  <c r="CH165" i="174"/>
  <c r="CG165" i="174"/>
  <c r="CF165" i="174"/>
  <c r="CE165" i="174"/>
  <c r="CD165" i="174"/>
  <c r="CC165" i="174"/>
  <c r="CB165" i="174"/>
  <c r="CA165" i="174"/>
  <c r="BY165" i="174"/>
  <c r="BX165" i="174"/>
  <c r="BW165" i="174"/>
  <c r="BV165" i="174"/>
  <c r="BT165" i="174"/>
  <c r="BS165" i="174"/>
  <c r="AS165" i="174"/>
  <c r="EC164" i="174"/>
  <c r="EB164" i="174"/>
  <c r="EA164" i="174"/>
  <c r="DZ164" i="174"/>
  <c r="DY164" i="174"/>
  <c r="DX164" i="174"/>
  <c r="DW164" i="174"/>
  <c r="DV164" i="174"/>
  <c r="DT164" i="174"/>
  <c r="DS164" i="174"/>
  <c r="DQ164" i="174"/>
  <c r="DP164" i="174"/>
  <c r="DO164" i="174"/>
  <c r="DN164" i="174"/>
  <c r="DH164" i="174"/>
  <c r="CN164" i="174" s="1"/>
  <c r="CK164" i="174"/>
  <c r="CI164" i="174"/>
  <c r="CH164" i="174"/>
  <c r="CG164" i="174"/>
  <c r="CF164" i="174"/>
  <c r="CE164" i="174"/>
  <c r="CD164" i="174"/>
  <c r="CC164" i="174"/>
  <c r="CB164" i="174"/>
  <c r="CA164" i="174"/>
  <c r="BY164" i="174"/>
  <c r="BX164" i="174"/>
  <c r="BW164" i="174"/>
  <c r="BT164" i="174"/>
  <c r="BS164" i="174"/>
  <c r="BP164" i="174"/>
  <c r="CL164" i="174" s="1"/>
  <c r="AZ164" i="174"/>
  <c r="AS164" i="174"/>
  <c r="Y164" i="174"/>
  <c r="ED163" i="174"/>
  <c r="EC163" i="174"/>
  <c r="EB163" i="174"/>
  <c r="EA163" i="174"/>
  <c r="DZ163" i="174"/>
  <c r="DY163" i="174"/>
  <c r="DX163" i="174"/>
  <c r="DW163" i="174"/>
  <c r="DV163" i="174"/>
  <c r="DT163" i="174"/>
  <c r="DS163" i="174"/>
  <c r="DP163" i="174"/>
  <c r="DO163" i="174"/>
  <c r="DM163" i="174"/>
  <c r="CN163" i="174"/>
  <c r="CL163" i="174"/>
  <c r="CK163" i="174"/>
  <c r="CJ163" i="174"/>
  <c r="CJ200" i="174" s="1"/>
  <c r="CI163" i="174"/>
  <c r="CH163" i="174"/>
  <c r="CG163" i="174"/>
  <c r="CF163" i="174"/>
  <c r="CE163" i="174"/>
  <c r="CD163" i="174"/>
  <c r="CC163" i="174"/>
  <c r="CB163" i="174"/>
  <c r="CA163" i="174"/>
  <c r="BX163" i="174"/>
  <c r="BW163" i="174"/>
  <c r="BT163" i="174"/>
  <c r="BS163" i="174"/>
  <c r="AV163" i="174"/>
  <c r="AF163" i="174"/>
  <c r="AC163" i="174"/>
  <c r="DN163" i="174" s="1"/>
  <c r="AA163" i="174"/>
  <c r="ED162" i="174"/>
  <c r="EC162" i="174"/>
  <c r="EB162" i="174"/>
  <c r="EA162" i="174"/>
  <c r="DZ162" i="174"/>
  <c r="DY162" i="174"/>
  <c r="DX162" i="174"/>
  <c r="DW162" i="174"/>
  <c r="DV162" i="174"/>
  <c r="DT162" i="174"/>
  <c r="DS162" i="174"/>
  <c r="DP162" i="174"/>
  <c r="DO162" i="174"/>
  <c r="CR162" i="174"/>
  <c r="DN162" i="174" s="1"/>
  <c r="CL162" i="174"/>
  <c r="CK162" i="174"/>
  <c r="CI162" i="174"/>
  <c r="CH162" i="174"/>
  <c r="CG162" i="174"/>
  <c r="CF162" i="174"/>
  <c r="CE162" i="174"/>
  <c r="CD162" i="174"/>
  <c r="CC162" i="174"/>
  <c r="CB162" i="174"/>
  <c r="CA162" i="174"/>
  <c r="BX162" i="174"/>
  <c r="BW162" i="174"/>
  <c r="BT162" i="174"/>
  <c r="BS162" i="174"/>
  <c r="AZ162" i="174"/>
  <c r="BV162" i="174" s="1"/>
  <c r="AF162" i="174"/>
  <c r="AC162" i="174"/>
  <c r="Y162" i="174"/>
  <c r="ED161" i="174"/>
  <c r="EC161" i="174"/>
  <c r="EB161" i="174"/>
  <c r="EA161" i="174"/>
  <c r="DZ161" i="174"/>
  <c r="DY161" i="174"/>
  <c r="DX161" i="174"/>
  <c r="DW161" i="174"/>
  <c r="DT161" i="174"/>
  <c r="DS161" i="174"/>
  <c r="DQ161" i="174"/>
  <c r="DP161" i="174"/>
  <c r="DO161" i="174"/>
  <c r="CL161" i="174"/>
  <c r="CK161" i="174"/>
  <c r="CI161" i="174"/>
  <c r="CH161" i="174"/>
  <c r="CG161" i="174"/>
  <c r="CF161" i="174"/>
  <c r="CE161" i="174"/>
  <c r="CC161" i="174"/>
  <c r="CB161" i="174"/>
  <c r="CA161" i="174"/>
  <c r="BY161" i="174"/>
  <c r="BX161" i="174"/>
  <c r="BW161" i="174"/>
  <c r="BT161" i="174"/>
  <c r="BS161" i="174"/>
  <c r="BH161" i="174"/>
  <c r="AV161" i="174" s="1"/>
  <c r="AC161" i="174"/>
  <c r="ED160" i="174"/>
  <c r="EC160" i="174"/>
  <c r="EB160" i="174"/>
  <c r="EA160" i="174"/>
  <c r="DZ160" i="174"/>
  <c r="DY160" i="174"/>
  <c r="DX160" i="174"/>
  <c r="DW160" i="174"/>
  <c r="DV160" i="174"/>
  <c r="DT160" i="174"/>
  <c r="DS160" i="174"/>
  <c r="DQ160" i="174"/>
  <c r="DP160" i="174"/>
  <c r="DO160" i="174"/>
  <c r="DN160" i="174"/>
  <c r="CN160" i="174"/>
  <c r="CK160" i="174"/>
  <c r="CI160" i="174"/>
  <c r="CH160" i="174"/>
  <c r="CG160" i="174"/>
  <c r="CF160" i="174"/>
  <c r="CE160" i="174"/>
  <c r="CD160" i="174"/>
  <c r="CC160" i="174"/>
  <c r="CB160" i="174"/>
  <c r="CA160" i="174"/>
  <c r="BY160" i="174"/>
  <c r="BX160" i="174"/>
  <c r="BW160" i="174"/>
  <c r="BR160" i="174" s="1"/>
  <c r="BV160" i="174"/>
  <c r="BT160" i="174"/>
  <c r="BS160" i="174"/>
  <c r="BP160" i="174"/>
  <c r="AS160" i="174"/>
  <c r="CL160" i="174" s="1"/>
  <c r="Y160" i="174"/>
  <c r="CM160" i="174" s="1"/>
  <c r="DI160" i="174" s="1"/>
  <c r="H160" i="174"/>
  <c r="ED159" i="174"/>
  <c r="EC159" i="174"/>
  <c r="EB159" i="174"/>
  <c r="EA159" i="174"/>
  <c r="DZ159" i="174"/>
  <c r="DY159" i="174"/>
  <c r="DX159" i="174"/>
  <c r="DW159" i="174"/>
  <c r="DV159" i="174"/>
  <c r="DT159" i="174"/>
  <c r="DS159" i="174"/>
  <c r="DQ159" i="174"/>
  <c r="DP159" i="174"/>
  <c r="DO159" i="174"/>
  <c r="CL159" i="174"/>
  <c r="CK159" i="174"/>
  <c r="CI159" i="174"/>
  <c r="CH159" i="174"/>
  <c r="CG159" i="174"/>
  <c r="CF159" i="174"/>
  <c r="CE159" i="174"/>
  <c r="CD159" i="174"/>
  <c r="CC159" i="174"/>
  <c r="CB159" i="174"/>
  <c r="CA159" i="174"/>
  <c r="BY159" i="174"/>
  <c r="BX159" i="174"/>
  <c r="BW159" i="174"/>
  <c r="BT159" i="174"/>
  <c r="BS159" i="174"/>
  <c r="AC159" i="174"/>
  <c r="ED158" i="174"/>
  <c r="EC158" i="174"/>
  <c r="EB158" i="174"/>
  <c r="EA158" i="174"/>
  <c r="DZ158" i="174"/>
  <c r="DX158" i="174"/>
  <c r="DW158" i="174"/>
  <c r="DV158" i="174"/>
  <c r="DT158" i="174"/>
  <c r="DS158" i="174"/>
  <c r="DQ158" i="174"/>
  <c r="DP158" i="174"/>
  <c r="DO158" i="174"/>
  <c r="CR158" i="174"/>
  <c r="CL158" i="174"/>
  <c r="CK158" i="174"/>
  <c r="CI158" i="174"/>
  <c r="CH158" i="174"/>
  <c r="CF158" i="174"/>
  <c r="CE158" i="174"/>
  <c r="CD158" i="174"/>
  <c r="CC158" i="174"/>
  <c r="CB158" i="174"/>
  <c r="CA158" i="174"/>
  <c r="BY158" i="174"/>
  <c r="BX158" i="174"/>
  <c r="BW158" i="174"/>
  <c r="BT158" i="174"/>
  <c r="BS158" i="174"/>
  <c r="AZ158" i="174"/>
  <c r="AN158" i="174"/>
  <c r="AC158" i="174"/>
  <c r="ED157" i="174"/>
  <c r="EC157" i="174"/>
  <c r="EB157" i="174"/>
  <c r="EA157" i="174"/>
  <c r="DZ157" i="174"/>
  <c r="DY157" i="174"/>
  <c r="DX157" i="174"/>
  <c r="DW157" i="174"/>
  <c r="DV157" i="174"/>
  <c r="DT157" i="174"/>
  <c r="DS157" i="174"/>
  <c r="DQ157" i="174"/>
  <c r="DP157" i="174"/>
  <c r="DO157" i="174"/>
  <c r="CR157" i="174"/>
  <c r="CN157" i="174" s="1"/>
  <c r="CL157" i="174"/>
  <c r="CK157" i="174"/>
  <c r="CI157" i="174"/>
  <c r="CH157" i="174"/>
  <c r="CG157" i="174"/>
  <c r="CF157" i="174"/>
  <c r="CE157" i="174"/>
  <c r="CD157" i="174"/>
  <c r="CC157" i="174"/>
  <c r="CB157" i="174"/>
  <c r="CA157" i="174"/>
  <c r="BY157" i="174"/>
  <c r="BX157" i="174"/>
  <c r="BW157" i="174"/>
  <c r="BT157" i="174"/>
  <c r="BS157" i="174"/>
  <c r="AZ157" i="174"/>
  <c r="AV157" i="174" s="1"/>
  <c r="AD157" i="174"/>
  <c r="AD200" i="174" s="1"/>
  <c r="AC157" i="174"/>
  <c r="Y157" i="174"/>
  <c r="ED156" i="174"/>
  <c r="EC156" i="174"/>
  <c r="EB156" i="174"/>
  <c r="EA156" i="174"/>
  <c r="DZ156" i="174"/>
  <c r="DY156" i="174"/>
  <c r="DX156" i="174"/>
  <c r="DW156" i="174"/>
  <c r="DV156" i="174"/>
  <c r="DT156" i="174"/>
  <c r="DS156" i="174"/>
  <c r="DQ156" i="174"/>
  <c r="DP156" i="174"/>
  <c r="DO156" i="174"/>
  <c r="DN156" i="174"/>
  <c r="DJ156" i="174" s="1"/>
  <c r="DI156" i="174"/>
  <c r="CN156" i="174"/>
  <c r="CL156" i="174"/>
  <c r="CK156" i="174"/>
  <c r="CI156" i="174"/>
  <c r="CH156" i="174"/>
  <c r="CG156" i="174"/>
  <c r="CF156" i="174"/>
  <c r="CE156" i="174"/>
  <c r="CD156" i="174"/>
  <c r="CC156" i="174"/>
  <c r="CB156" i="174"/>
  <c r="CA156" i="174"/>
  <c r="BY156" i="174"/>
  <c r="BX156" i="174"/>
  <c r="BW156" i="174"/>
  <c r="BT156" i="174"/>
  <c r="BS156" i="174"/>
  <c r="AZ156" i="174"/>
  <c r="AV156" i="174" s="1"/>
  <c r="AU156" i="174" s="1"/>
  <c r="BQ156" i="174" s="1"/>
  <c r="AC156" i="174"/>
  <c r="BV156" i="174" s="1"/>
  <c r="Y156" i="174"/>
  <c r="CM156" i="174" s="1"/>
  <c r="H156" i="174"/>
  <c r="ED155" i="174"/>
  <c r="EC155" i="174"/>
  <c r="EB155" i="174"/>
  <c r="EA155" i="174"/>
  <c r="DZ155" i="174"/>
  <c r="DY155" i="174"/>
  <c r="DX155" i="174"/>
  <c r="DW155" i="174"/>
  <c r="DV155" i="174"/>
  <c r="DT155" i="174"/>
  <c r="DS155" i="174"/>
  <c r="DQ155" i="174"/>
  <c r="DP155" i="174"/>
  <c r="DO155" i="174"/>
  <c r="CR155" i="174"/>
  <c r="CN155" i="174" s="1"/>
  <c r="CL155" i="174"/>
  <c r="CK155" i="174"/>
  <c r="CI155" i="174"/>
  <c r="CH155" i="174"/>
  <c r="CG155" i="174"/>
  <c r="CF155" i="174"/>
  <c r="CE155" i="174"/>
  <c r="CD155" i="174"/>
  <c r="CC155" i="174"/>
  <c r="CB155" i="174"/>
  <c r="CA155" i="174"/>
  <c r="BY155" i="174"/>
  <c r="BX155" i="174"/>
  <c r="BW155" i="174"/>
  <c r="BT155" i="174"/>
  <c r="BS155" i="174"/>
  <c r="AZ155" i="174"/>
  <c r="AV155" i="174" s="1"/>
  <c r="AU155" i="174" s="1"/>
  <c r="BQ155" i="174" s="1"/>
  <c r="AC155" i="174"/>
  <c r="Y155" i="174"/>
  <c r="ED154" i="174"/>
  <c r="EC154" i="174"/>
  <c r="EB154" i="174"/>
  <c r="EA154" i="174"/>
  <c r="DZ154" i="174"/>
  <c r="DY154" i="174"/>
  <c r="DX154" i="174"/>
  <c r="DW154" i="174"/>
  <c r="DV154" i="174"/>
  <c r="DT154" i="174"/>
  <c r="DS154" i="174"/>
  <c r="DQ154" i="174"/>
  <c r="DJ154" i="174" s="1"/>
  <c r="DP154" i="174"/>
  <c r="DO154" i="174"/>
  <c r="DN154" i="174"/>
  <c r="CN154" i="174"/>
  <c r="CM154" i="174" s="1"/>
  <c r="DI154" i="174" s="1"/>
  <c r="CL154" i="174"/>
  <c r="CK154" i="174"/>
  <c r="CI154" i="174"/>
  <c r="CH154" i="174"/>
  <c r="CG154" i="174"/>
  <c r="CF154" i="174"/>
  <c r="CE154" i="174"/>
  <c r="CD154" i="174"/>
  <c r="CC154" i="174"/>
  <c r="CB154" i="174"/>
  <c r="CA154" i="174"/>
  <c r="BY154" i="174"/>
  <c r="BX154" i="174"/>
  <c r="BW154" i="174"/>
  <c r="BV154" i="174"/>
  <c r="BT154" i="174"/>
  <c r="BS154" i="174"/>
  <c r="BQ154" i="174"/>
  <c r="AV154" i="174"/>
  <c r="AC154" i="174"/>
  <c r="Y154" i="174"/>
  <c r="AU154" i="174" s="1"/>
  <c r="I154" i="174"/>
  <c r="H154" i="174"/>
  <c r="ED153" i="174"/>
  <c r="EB153" i="174"/>
  <c r="EA153" i="174"/>
  <c r="DZ153" i="174"/>
  <c r="DY153" i="174"/>
  <c r="DX153" i="174"/>
  <c r="DW153" i="174"/>
  <c r="DV153" i="174"/>
  <c r="DT153" i="174"/>
  <c r="DS153" i="174"/>
  <c r="DQ153" i="174"/>
  <c r="DP153" i="174"/>
  <c r="DO153" i="174"/>
  <c r="CZ153" i="174"/>
  <c r="CR153" i="174"/>
  <c r="CN153" i="174" s="1"/>
  <c r="CL153" i="174"/>
  <c r="CK153" i="174"/>
  <c r="CI153" i="174"/>
  <c r="CH153" i="174"/>
  <c r="CG153" i="174"/>
  <c r="CF153" i="174"/>
  <c r="CE153" i="174"/>
  <c r="CC153" i="174"/>
  <c r="CB153" i="174"/>
  <c r="CA153" i="174"/>
  <c r="CA200" i="174" s="1"/>
  <c r="BY153" i="174"/>
  <c r="BX153" i="174"/>
  <c r="BW153" i="174"/>
  <c r="BT153" i="174"/>
  <c r="BS153" i="174"/>
  <c r="BH153" i="174"/>
  <c r="AZ153" i="174"/>
  <c r="AC153" i="174"/>
  <c r="ED152" i="174"/>
  <c r="EB152" i="174"/>
  <c r="EA152" i="174"/>
  <c r="DZ152" i="174"/>
  <c r="DY152" i="174"/>
  <c r="DX152" i="174"/>
  <c r="DW152" i="174"/>
  <c r="DV152" i="174"/>
  <c r="DT152" i="174"/>
  <c r="DS152" i="174"/>
  <c r="DQ152" i="174"/>
  <c r="DP152" i="174"/>
  <c r="DO152" i="174"/>
  <c r="CR152" i="174"/>
  <c r="CN152" i="174" s="1"/>
  <c r="CL152" i="174"/>
  <c r="CK152" i="174"/>
  <c r="CI152" i="174"/>
  <c r="CH152" i="174"/>
  <c r="CG152" i="174"/>
  <c r="CF152" i="174"/>
  <c r="CE152" i="174"/>
  <c r="CD152" i="174"/>
  <c r="CC152" i="174"/>
  <c r="CB152" i="174"/>
  <c r="CA152" i="174"/>
  <c r="BY152" i="174"/>
  <c r="BX152" i="174"/>
  <c r="BW152" i="174"/>
  <c r="BT152" i="174"/>
  <c r="BS152" i="174"/>
  <c r="AV152" i="174"/>
  <c r="AC152" i="174"/>
  <c r="CN151" i="174"/>
  <c r="BV151" i="174"/>
  <c r="BR151" i="174" s="1"/>
  <c r="AV151" i="174"/>
  <c r="AC151" i="174"/>
  <c r="DN151" i="174" s="1"/>
  <c r="DJ151" i="174" s="1"/>
  <c r="Y151" i="174"/>
  <c r="EB150" i="174"/>
  <c r="EA150" i="174"/>
  <c r="DZ150" i="174"/>
  <c r="DY150" i="174"/>
  <c r="DX150" i="174"/>
  <c r="DW150" i="174"/>
  <c r="DV150" i="174"/>
  <c r="DT150" i="174"/>
  <c r="DS150" i="174"/>
  <c r="DQ150" i="174"/>
  <c r="DP150" i="174"/>
  <c r="DO150" i="174"/>
  <c r="DN150" i="174"/>
  <c r="CK150" i="174"/>
  <c r="CI150" i="174"/>
  <c r="CH150" i="174"/>
  <c r="CG150" i="174"/>
  <c r="CF150" i="174"/>
  <c r="CE150" i="174"/>
  <c r="CD150" i="174"/>
  <c r="CC150" i="174"/>
  <c r="CB150" i="174"/>
  <c r="CA150" i="174"/>
  <c r="BY150" i="174"/>
  <c r="BX150" i="174"/>
  <c r="BW150" i="174"/>
  <c r="BV150" i="174"/>
  <c r="BT150" i="174"/>
  <c r="BS150" i="174"/>
  <c r="BP150" i="174"/>
  <c r="AV150" i="174"/>
  <c r="AS150" i="174"/>
  <c r="ED149" i="174"/>
  <c r="EB149" i="174"/>
  <c r="EA149" i="174"/>
  <c r="DZ149" i="174"/>
  <c r="DY149" i="174"/>
  <c r="DX149" i="174"/>
  <c r="DW149" i="174"/>
  <c r="DV149" i="174"/>
  <c r="DT149" i="174"/>
  <c r="DS149" i="174"/>
  <c r="DQ149" i="174"/>
  <c r="DP149" i="174"/>
  <c r="DO149" i="174"/>
  <c r="CN149" i="174"/>
  <c r="CL149" i="174"/>
  <c r="CK149" i="174"/>
  <c r="CI149" i="174"/>
  <c r="CH149" i="174"/>
  <c r="CG149" i="174"/>
  <c r="CF149" i="174"/>
  <c r="CE149" i="174"/>
  <c r="CD149" i="174"/>
  <c r="CC149" i="174"/>
  <c r="CB149" i="174"/>
  <c r="CA149" i="174"/>
  <c r="BY149" i="174"/>
  <c r="BX149" i="174"/>
  <c r="BW149" i="174"/>
  <c r="BT149" i="174"/>
  <c r="BS149" i="174"/>
  <c r="AV149" i="174"/>
  <c r="AC149" i="174"/>
  <c r="H149" i="174"/>
  <c r="ED148" i="174"/>
  <c r="EB148" i="174"/>
  <c r="EA148" i="174"/>
  <c r="DZ148" i="174"/>
  <c r="DY148" i="174"/>
  <c r="DX148" i="174"/>
  <c r="DW148" i="174"/>
  <c r="DV148" i="174"/>
  <c r="DT148" i="174"/>
  <c r="DS148" i="174"/>
  <c r="DQ148" i="174"/>
  <c r="DP148" i="174"/>
  <c r="DO148" i="174"/>
  <c r="CR148" i="174"/>
  <c r="CN148" i="174" s="1"/>
  <c r="CL148" i="174"/>
  <c r="CK148" i="174"/>
  <c r="CI148" i="174"/>
  <c r="CH148" i="174"/>
  <c r="CG148" i="174"/>
  <c r="CF148" i="174"/>
  <c r="CE148" i="174"/>
  <c r="CD148" i="174"/>
  <c r="CC148" i="174"/>
  <c r="CB148" i="174"/>
  <c r="CA148" i="174"/>
  <c r="BY148" i="174"/>
  <c r="BX148" i="174"/>
  <c r="BW148" i="174"/>
  <c r="BT148" i="174"/>
  <c r="BS148" i="174"/>
  <c r="AZ148" i="174"/>
  <c r="BV148" i="174" s="1"/>
  <c r="BR148" i="174" s="1"/>
  <c r="AV148" i="174"/>
  <c r="AU148" i="174"/>
  <c r="BQ148" i="174" s="1"/>
  <c r="AC148" i="174"/>
  <c r="Y148" i="174"/>
  <c r="ED147" i="174"/>
  <c r="EB147" i="174"/>
  <c r="EA147" i="174"/>
  <c r="DZ147" i="174"/>
  <c r="DX147" i="174"/>
  <c r="DW147" i="174"/>
  <c r="DV147" i="174"/>
  <c r="DT147" i="174"/>
  <c r="DS147" i="174"/>
  <c r="DQ147" i="174"/>
  <c r="DP147" i="174"/>
  <c r="DO147" i="174"/>
  <c r="CR147" i="174"/>
  <c r="CN147" i="174" s="1"/>
  <c r="H147" i="174" s="1"/>
  <c r="CL147" i="174"/>
  <c r="CK147" i="174"/>
  <c r="CI147" i="174"/>
  <c r="CH147" i="174"/>
  <c r="CF147" i="174"/>
  <c r="CE147" i="174"/>
  <c r="CD147" i="174"/>
  <c r="CC147" i="174"/>
  <c r="CB147" i="174"/>
  <c r="CA147" i="174"/>
  <c r="BY147" i="174"/>
  <c r="BX147" i="174"/>
  <c r="BW147" i="174"/>
  <c r="BV147" i="174"/>
  <c r="BT147" i="174"/>
  <c r="BS147" i="174"/>
  <c r="AZ147" i="174"/>
  <c r="AV147" i="174"/>
  <c r="AN147" i="174"/>
  <c r="AC147" i="174"/>
  <c r="ED146" i="174"/>
  <c r="EB146" i="174"/>
  <c r="EA146" i="174"/>
  <c r="DZ146" i="174"/>
  <c r="DY146" i="174"/>
  <c r="DX146" i="174"/>
  <c r="DW146" i="174"/>
  <c r="DV146" i="174"/>
  <c r="DT146" i="174"/>
  <c r="DS146" i="174"/>
  <c r="DQ146" i="174"/>
  <c r="DP146" i="174"/>
  <c r="DO146" i="174"/>
  <c r="CN146" i="174"/>
  <c r="CM146" i="174"/>
  <c r="DI146" i="174" s="1"/>
  <c r="CL146" i="174"/>
  <c r="CK146" i="174"/>
  <c r="CI146" i="174"/>
  <c r="CH146" i="174"/>
  <c r="CG146" i="174"/>
  <c r="CF146" i="174"/>
  <c r="CE146" i="174"/>
  <c r="CD146" i="174"/>
  <c r="CC146" i="174"/>
  <c r="CB146" i="174"/>
  <c r="CA146" i="174"/>
  <c r="BY146" i="174"/>
  <c r="BX146" i="174"/>
  <c r="BW146" i="174"/>
  <c r="BT146" i="174"/>
  <c r="BS146" i="174"/>
  <c r="AV146" i="174"/>
  <c r="AC146" i="174"/>
  <c r="Y146" i="174"/>
  <c r="AU146" i="174" s="1"/>
  <c r="BQ146" i="174" s="1"/>
  <c r="I146" i="174"/>
  <c r="H146" i="174"/>
  <c r="ED145" i="174"/>
  <c r="EB145" i="174"/>
  <c r="EA145" i="174"/>
  <c r="DZ145" i="174"/>
  <c r="DY145" i="174"/>
  <c r="DX145" i="174"/>
  <c r="DW145" i="174"/>
  <c r="DV145" i="174"/>
  <c r="DT145" i="174"/>
  <c r="DS145" i="174"/>
  <c r="DQ145" i="174"/>
  <c r="DP145" i="174"/>
  <c r="DO145" i="174"/>
  <c r="DN145" i="174"/>
  <c r="DJ145" i="174"/>
  <c r="CN145" i="174"/>
  <c r="CL145" i="174"/>
  <c r="CK145" i="174"/>
  <c r="CI145" i="174"/>
  <c r="CH145" i="174"/>
  <c r="CG145" i="174"/>
  <c r="CF145" i="174"/>
  <c r="CE145" i="174"/>
  <c r="CD145" i="174"/>
  <c r="CC145" i="174"/>
  <c r="CB145" i="174"/>
  <c r="CA145" i="174"/>
  <c r="BY145" i="174"/>
  <c r="BX145" i="174"/>
  <c r="BW145" i="174"/>
  <c r="BV145" i="174"/>
  <c r="BR145" i="174" s="1"/>
  <c r="BT145" i="174"/>
  <c r="BS145" i="174"/>
  <c r="AV145" i="174"/>
  <c r="AC145" i="174"/>
  <c r="Y145" i="174"/>
  <c r="ED144" i="174"/>
  <c r="EB144" i="174"/>
  <c r="EA144" i="174"/>
  <c r="DZ144" i="174"/>
  <c r="DY144" i="174"/>
  <c r="DX144" i="174"/>
  <c r="DW144" i="174"/>
  <c r="DV144" i="174"/>
  <c r="DT144" i="174"/>
  <c r="DS144" i="174"/>
  <c r="DQ144" i="174"/>
  <c r="DP144" i="174"/>
  <c r="DO144" i="174"/>
  <c r="DN144" i="174"/>
  <c r="CN144" i="174"/>
  <c r="CM144" i="174"/>
  <c r="DI144" i="174" s="1"/>
  <c r="CL144" i="174"/>
  <c r="CK144" i="174"/>
  <c r="CI144" i="174"/>
  <c r="CH144" i="174"/>
  <c r="CG144" i="174"/>
  <c r="CF144" i="174"/>
  <c r="CE144" i="174"/>
  <c r="CD144" i="174"/>
  <c r="CC144" i="174"/>
  <c r="CB144" i="174"/>
  <c r="CA144" i="174"/>
  <c r="BY144" i="174"/>
  <c r="BX144" i="174"/>
  <c r="BW144" i="174"/>
  <c r="BV144" i="174"/>
  <c r="BT144" i="174"/>
  <c r="BS144" i="174"/>
  <c r="AV144" i="174"/>
  <c r="AU144" i="174" s="1"/>
  <c r="BQ144" i="174" s="1"/>
  <c r="AC144" i="174"/>
  <c r="Y144" i="174"/>
  <c r="H144" i="174"/>
  <c r="I144" i="174" s="1"/>
  <c r="ED143" i="174"/>
  <c r="EB143" i="174"/>
  <c r="EA143" i="174"/>
  <c r="DZ143" i="174"/>
  <c r="DY143" i="174"/>
  <c r="DX143" i="174"/>
  <c r="DW143" i="174"/>
  <c r="DV143" i="174"/>
  <c r="DT143" i="174"/>
  <c r="DS143" i="174"/>
  <c r="DQ143" i="174"/>
  <c r="DP143" i="174"/>
  <c r="DO143" i="174"/>
  <c r="CN143" i="174"/>
  <c r="CL143" i="174"/>
  <c r="CK143" i="174"/>
  <c r="CI143" i="174"/>
  <c r="CH143" i="174"/>
  <c r="CG143" i="174"/>
  <c r="CF143" i="174"/>
  <c r="CE143" i="174"/>
  <c r="CD143" i="174"/>
  <c r="CC143" i="174"/>
  <c r="CB143" i="174"/>
  <c r="CA143" i="174"/>
  <c r="BY143" i="174"/>
  <c r="BX143" i="174"/>
  <c r="BW143" i="174"/>
  <c r="BT143" i="174"/>
  <c r="BS143" i="174"/>
  <c r="AV143" i="174"/>
  <c r="AC143" i="174"/>
  <c r="ED142" i="174"/>
  <c r="EB142" i="174"/>
  <c r="EA142" i="174"/>
  <c r="DZ142" i="174"/>
  <c r="DY142" i="174"/>
  <c r="DX142" i="174"/>
  <c r="DW142" i="174"/>
  <c r="DV142" i="174"/>
  <c r="DT142" i="174"/>
  <c r="DS142" i="174"/>
  <c r="DQ142" i="174"/>
  <c r="DP142" i="174"/>
  <c r="DO142" i="174"/>
  <c r="DN142" i="174"/>
  <c r="DJ142" i="174" s="1"/>
  <c r="CN142" i="174"/>
  <c r="CL142" i="174"/>
  <c r="CK142" i="174"/>
  <c r="CI142" i="174"/>
  <c r="CH142" i="174"/>
  <c r="CG142" i="174"/>
  <c r="CF142" i="174"/>
  <c r="CE142" i="174"/>
  <c r="CD142" i="174"/>
  <c r="CC142" i="174"/>
  <c r="CB142" i="174"/>
  <c r="CA142" i="174"/>
  <c r="BY142" i="174"/>
  <c r="BX142" i="174"/>
  <c r="BW142" i="174"/>
  <c r="BT142" i="174"/>
  <c r="BS142" i="174"/>
  <c r="AZ142" i="174"/>
  <c r="AV142" i="174" s="1"/>
  <c r="AC142" i="174"/>
  <c r="H142" i="174"/>
  <c r="ED141" i="174"/>
  <c r="EB141" i="174"/>
  <c r="EA141" i="174"/>
  <c r="DZ141" i="174"/>
  <c r="DY141" i="174"/>
  <c r="DX141" i="174"/>
  <c r="DW141" i="174"/>
  <c r="DV141" i="174"/>
  <c r="DT141" i="174"/>
  <c r="DS141" i="174"/>
  <c r="DQ141" i="174"/>
  <c r="DP141" i="174"/>
  <c r="DO141" i="174"/>
  <c r="CN141" i="174"/>
  <c r="H141" i="174" s="1"/>
  <c r="CL141" i="174"/>
  <c r="CK141" i="174"/>
  <c r="CI141" i="174"/>
  <c r="CH141" i="174"/>
  <c r="CG141" i="174"/>
  <c r="CF141" i="174"/>
  <c r="CE141" i="174"/>
  <c r="CD141" i="174"/>
  <c r="CC141" i="174"/>
  <c r="CB141" i="174"/>
  <c r="CA141" i="174"/>
  <c r="BY141" i="174"/>
  <c r="BX141" i="174"/>
  <c r="BW141" i="174"/>
  <c r="BT141" i="174"/>
  <c r="BS141" i="174"/>
  <c r="AV141" i="174"/>
  <c r="AC141" i="174"/>
  <c r="ED140" i="174"/>
  <c r="EB140" i="174"/>
  <c r="EA140" i="174"/>
  <c r="DZ140" i="174"/>
  <c r="DY140" i="174"/>
  <c r="DX140" i="174"/>
  <c r="DW140" i="174"/>
  <c r="DV140" i="174"/>
  <c r="DT140" i="174"/>
  <c r="DS140" i="174"/>
  <c r="DQ140" i="174"/>
  <c r="DP140" i="174"/>
  <c r="DO140" i="174"/>
  <c r="DN140" i="174"/>
  <c r="DJ140" i="174" s="1"/>
  <c r="CN140" i="174"/>
  <c r="CL140" i="174"/>
  <c r="CK140" i="174"/>
  <c r="CI140" i="174"/>
  <c r="CH140" i="174"/>
  <c r="CG140" i="174"/>
  <c r="CF140" i="174"/>
  <c r="CE140" i="174"/>
  <c r="CD140" i="174"/>
  <c r="CC140" i="174"/>
  <c r="CB140" i="174"/>
  <c r="CA140" i="174"/>
  <c r="BY140" i="174"/>
  <c r="BX140" i="174"/>
  <c r="BW140" i="174"/>
  <c r="BV140" i="174"/>
  <c r="BR140" i="174" s="1"/>
  <c r="BT140" i="174"/>
  <c r="BS140" i="174"/>
  <c r="AV140" i="174"/>
  <c r="AC140" i="174"/>
  <c r="Y140" i="174"/>
  <c r="ED139" i="174"/>
  <c r="EB139" i="174"/>
  <c r="EA139" i="174"/>
  <c r="DZ139" i="174"/>
  <c r="DY139" i="174"/>
  <c r="DX139" i="174"/>
  <c r="DW139" i="174"/>
  <c r="DV139" i="174"/>
  <c r="DT139" i="174"/>
  <c r="DS139" i="174"/>
  <c r="DQ139" i="174"/>
  <c r="DP139" i="174"/>
  <c r="DO139" i="174"/>
  <c r="DN139" i="174"/>
  <c r="CN139" i="174"/>
  <c r="CM139" i="174"/>
  <c r="DI139" i="174" s="1"/>
  <c r="CL139" i="174"/>
  <c r="CK139" i="174"/>
  <c r="CI139" i="174"/>
  <c r="CH139" i="174"/>
  <c r="CG139" i="174"/>
  <c r="CF139" i="174"/>
  <c r="CE139" i="174"/>
  <c r="CC139" i="174"/>
  <c r="CB139" i="174"/>
  <c r="CA139" i="174"/>
  <c r="BY139" i="174"/>
  <c r="BX139" i="174"/>
  <c r="BW139" i="174"/>
  <c r="BT139" i="174"/>
  <c r="BS139" i="174"/>
  <c r="AC139" i="174"/>
  <c r="Y139" i="174"/>
  <c r="H139" i="174"/>
  <c r="I139" i="174" s="1"/>
  <c r="ED138" i="174"/>
  <c r="EB138" i="174"/>
  <c r="EA138" i="174"/>
  <c r="DZ138" i="174"/>
  <c r="DY138" i="174"/>
  <c r="DX138" i="174"/>
  <c r="DW138" i="174"/>
  <c r="DV138" i="174"/>
  <c r="DU138" i="174"/>
  <c r="DU195" i="174" s="1"/>
  <c r="DT138" i="174"/>
  <c r="DS138" i="174"/>
  <c r="DJ138" i="174" s="1"/>
  <c r="DQ138" i="174"/>
  <c r="DP138" i="174"/>
  <c r="DO138" i="174"/>
  <c r="DN138" i="174"/>
  <c r="CN138" i="174"/>
  <c r="CM138" i="174"/>
  <c r="DI138" i="174" s="1"/>
  <c r="CL138" i="174"/>
  <c r="CK138" i="174"/>
  <c r="CI138" i="174"/>
  <c r="CH138" i="174"/>
  <c r="CG138" i="174"/>
  <c r="CF138" i="174"/>
  <c r="CE138" i="174"/>
  <c r="CD138" i="174"/>
  <c r="CC138" i="174"/>
  <c r="CB138" i="174"/>
  <c r="CA138" i="174"/>
  <c r="BY138" i="174"/>
  <c r="BX138" i="174"/>
  <c r="BW138" i="174"/>
  <c r="BT138" i="174"/>
  <c r="BS138" i="174"/>
  <c r="Y138" i="174"/>
  <c r="H138" i="174"/>
  <c r="ED137" i="174"/>
  <c r="EB137" i="174"/>
  <c r="EA137" i="174"/>
  <c r="DZ137" i="174"/>
  <c r="DY137" i="174"/>
  <c r="DX137" i="174"/>
  <c r="DW137" i="174"/>
  <c r="DV137" i="174"/>
  <c r="DU137" i="174"/>
  <c r="DT137" i="174"/>
  <c r="DS137" i="174"/>
  <c r="DQ137" i="174"/>
  <c r="DP137" i="174"/>
  <c r="DO137" i="174"/>
  <c r="CN137" i="174"/>
  <c r="CL137" i="174"/>
  <c r="CK137" i="174"/>
  <c r="CJ137" i="174"/>
  <c r="CJ195" i="174" s="1"/>
  <c r="CI137" i="174"/>
  <c r="CH137" i="174"/>
  <c r="CG137" i="174"/>
  <c r="CF137" i="174"/>
  <c r="CE137" i="174"/>
  <c r="CC137" i="174"/>
  <c r="CB137" i="174"/>
  <c r="CA137" i="174"/>
  <c r="BY137" i="174"/>
  <c r="BX137" i="174"/>
  <c r="BW137" i="174"/>
  <c r="BT137" i="174"/>
  <c r="BS137" i="174"/>
  <c r="AC137" i="174"/>
  <c r="DN137" i="174" s="1"/>
  <c r="Y137" i="174"/>
  <c r="CM137" i="174" s="1"/>
  <c r="DI137" i="174" s="1"/>
  <c r="H137" i="174"/>
  <c r="I137" i="174" s="1"/>
  <c r="ED136" i="174"/>
  <c r="EB136" i="174"/>
  <c r="EA136" i="174"/>
  <c r="DZ136" i="174"/>
  <c r="DY136" i="174"/>
  <c r="DX136" i="174"/>
  <c r="DW136" i="174"/>
  <c r="DV136" i="174"/>
  <c r="DT136" i="174"/>
  <c r="DS136" i="174"/>
  <c r="DQ136" i="174"/>
  <c r="DP136" i="174"/>
  <c r="DO136" i="174"/>
  <c r="CN136" i="174"/>
  <c r="CL136" i="174"/>
  <c r="CI136" i="174"/>
  <c r="CH136" i="174"/>
  <c r="CG136" i="174"/>
  <c r="CF136" i="174"/>
  <c r="CE136" i="174"/>
  <c r="CD136" i="174"/>
  <c r="CC136" i="174"/>
  <c r="CB136" i="174"/>
  <c r="CA136" i="174"/>
  <c r="BY136" i="174"/>
  <c r="BX136" i="174"/>
  <c r="BW136" i="174"/>
  <c r="BT136" i="174"/>
  <c r="BS136" i="174"/>
  <c r="AV136" i="174"/>
  <c r="AC136" i="174"/>
  <c r="ED135" i="174"/>
  <c r="EB135" i="174"/>
  <c r="EA135" i="174"/>
  <c r="DZ135" i="174"/>
  <c r="DY135" i="174"/>
  <c r="DX135" i="174"/>
  <c r="DW135" i="174"/>
  <c r="DV135" i="174"/>
  <c r="DT135" i="174"/>
  <c r="DS135" i="174"/>
  <c r="DQ135" i="174"/>
  <c r="DP135" i="174"/>
  <c r="CS135" i="174"/>
  <c r="CR135" i="174"/>
  <c r="DN135" i="174" s="1"/>
  <c r="CL135" i="174"/>
  <c r="CI135" i="174"/>
  <c r="CH135" i="174"/>
  <c r="CG135" i="174"/>
  <c r="CF135" i="174"/>
  <c r="CE135" i="174"/>
  <c r="CD135" i="174"/>
  <c r="CC135" i="174"/>
  <c r="CB135" i="174"/>
  <c r="CA135" i="174"/>
  <c r="BY135" i="174"/>
  <c r="BX135" i="174"/>
  <c r="BT135" i="174"/>
  <c r="BS135" i="174"/>
  <c r="BA135" i="174"/>
  <c r="AZ135" i="174"/>
  <c r="AD135" i="174"/>
  <c r="AD195" i="174" s="1"/>
  <c r="AC135" i="174"/>
  <c r="Y135" i="174"/>
  <c r="ED134" i="174"/>
  <c r="EB134" i="174"/>
  <c r="EA134" i="174"/>
  <c r="DZ134" i="174"/>
  <c r="DY134" i="174"/>
  <c r="DX134" i="174"/>
  <c r="DW134" i="174"/>
  <c r="DV134" i="174"/>
  <c r="DT134" i="174"/>
  <c r="DS134" i="174"/>
  <c r="DQ134" i="174"/>
  <c r="DP134" i="174"/>
  <c r="DO134" i="174"/>
  <c r="DD134" i="174"/>
  <c r="CL134" i="174"/>
  <c r="CI134" i="174"/>
  <c r="CG134" i="174"/>
  <c r="CF134" i="174"/>
  <c r="CE134" i="174"/>
  <c r="CD134" i="174"/>
  <c r="CC134" i="174"/>
  <c r="CB134" i="174"/>
  <c r="CA134" i="174"/>
  <c r="BY134" i="174"/>
  <c r="BX134" i="174"/>
  <c r="BW134" i="174"/>
  <c r="BT134" i="174"/>
  <c r="BS134" i="174"/>
  <c r="BL134" i="174"/>
  <c r="AC134" i="174"/>
  <c r="Y134" i="174" s="1"/>
  <c r="ED133" i="174"/>
  <c r="EB133" i="174"/>
  <c r="EA133" i="174"/>
  <c r="DZ133" i="174"/>
  <c r="DY133" i="174"/>
  <c r="DX133" i="174"/>
  <c r="DW133" i="174"/>
  <c r="DV133" i="174"/>
  <c r="DT133" i="174"/>
  <c r="DS133" i="174"/>
  <c r="DQ133" i="174"/>
  <c r="DP133" i="174"/>
  <c r="DO133" i="174"/>
  <c r="DN133" i="174"/>
  <c r="CN133" i="174"/>
  <c r="CM133" i="174"/>
  <c r="DI133" i="174" s="1"/>
  <c r="CL133" i="174"/>
  <c r="CI133" i="174"/>
  <c r="CI199" i="174" s="1"/>
  <c r="CH133" i="174"/>
  <c r="CG133" i="174"/>
  <c r="CF133" i="174"/>
  <c r="CE133" i="174"/>
  <c r="CD133" i="174"/>
  <c r="CC133" i="174"/>
  <c r="CB133" i="174"/>
  <c r="CA133" i="174"/>
  <c r="BY133" i="174"/>
  <c r="BX133" i="174"/>
  <c r="BW133" i="174"/>
  <c r="BT133" i="174"/>
  <c r="BS133" i="174"/>
  <c r="Y133" i="174"/>
  <c r="H133" i="174"/>
  <c r="I133" i="174" s="1"/>
  <c r="ED132" i="174"/>
  <c r="EB132" i="174"/>
  <c r="EA132" i="174"/>
  <c r="DY132" i="174"/>
  <c r="DX132" i="174"/>
  <c r="DW132" i="174"/>
  <c r="DW199" i="174" s="1"/>
  <c r="DV132" i="174"/>
  <c r="DT132" i="174"/>
  <c r="DS132" i="174"/>
  <c r="DQ132" i="174"/>
  <c r="DO132" i="174"/>
  <c r="CN132" i="174"/>
  <c r="CL132" i="174"/>
  <c r="CI132" i="174"/>
  <c r="CG132" i="174"/>
  <c r="CF132" i="174"/>
  <c r="CE132" i="174"/>
  <c r="CD132" i="174"/>
  <c r="CC132" i="174"/>
  <c r="CB132" i="174"/>
  <c r="CA132" i="174"/>
  <c r="BY132" i="174"/>
  <c r="BW132" i="174"/>
  <c r="BT132" i="174"/>
  <c r="BS132" i="174"/>
  <c r="AV132" i="174"/>
  <c r="AO132" i="174"/>
  <c r="AE132" i="174"/>
  <c r="AC132" i="174"/>
  <c r="BV132" i="174" s="1"/>
  <c r="ED131" i="174"/>
  <c r="EB131" i="174"/>
  <c r="EA131" i="174"/>
  <c r="DZ131" i="174"/>
  <c r="DY131" i="174"/>
  <c r="DX131" i="174"/>
  <c r="DW131" i="174"/>
  <c r="DV131" i="174"/>
  <c r="DT131" i="174"/>
  <c r="DS131" i="174"/>
  <c r="DQ131" i="174"/>
  <c r="DP131" i="174"/>
  <c r="DO131" i="174"/>
  <c r="DN131" i="174"/>
  <c r="CT131" i="174"/>
  <c r="CN131" i="174"/>
  <c r="H131" i="174" s="1"/>
  <c r="I131" i="174" s="1"/>
  <c r="CM131" i="174"/>
  <c r="DI131" i="174" s="1"/>
  <c r="CL131" i="174"/>
  <c r="CI131" i="174"/>
  <c r="CH131" i="174"/>
  <c r="CG131" i="174"/>
  <c r="CF131" i="174"/>
  <c r="CE131" i="174"/>
  <c r="CD131" i="174"/>
  <c r="CC131" i="174"/>
  <c r="CB131" i="174"/>
  <c r="CA131" i="174"/>
  <c r="BY131" i="174"/>
  <c r="BX131" i="174"/>
  <c r="BR131" i="174" s="1"/>
  <c r="BW131" i="174"/>
  <c r="BV131" i="174"/>
  <c r="BT131" i="174"/>
  <c r="BS131" i="174"/>
  <c r="BB131" i="174"/>
  <c r="AV131" i="174"/>
  <c r="Y131" i="174"/>
  <c r="ED130" i="174"/>
  <c r="EB130" i="174"/>
  <c r="EA130" i="174"/>
  <c r="DZ130" i="174"/>
  <c r="DY130" i="174"/>
  <c r="DX130" i="174"/>
  <c r="DW130" i="174"/>
  <c r="DV130" i="174"/>
  <c r="DT130" i="174"/>
  <c r="DS130" i="174"/>
  <c r="DQ130" i="174"/>
  <c r="DO130" i="174"/>
  <c r="DN130" i="174"/>
  <c r="CT130" i="174"/>
  <c r="CN130" i="174" s="1"/>
  <c r="CL130" i="174"/>
  <c r="CI130" i="174"/>
  <c r="CH130" i="174"/>
  <c r="CG130" i="174"/>
  <c r="CF130" i="174"/>
  <c r="CE130" i="174"/>
  <c r="CD130" i="174"/>
  <c r="CC130" i="174"/>
  <c r="CB130" i="174"/>
  <c r="CA130" i="174"/>
  <c r="BY130" i="174"/>
  <c r="BW130" i="174"/>
  <c r="BV130" i="174"/>
  <c r="BT130" i="174"/>
  <c r="BS130" i="174"/>
  <c r="BB130" i="174"/>
  <c r="BX130" i="174" s="1"/>
  <c r="AV130" i="174"/>
  <c r="Y130" i="174"/>
  <c r="EC129" i="174"/>
  <c r="DU129" i="174"/>
  <c r="DR129" i="174"/>
  <c r="DO129" i="174"/>
  <c r="DN129" i="174"/>
  <c r="DG129" i="174"/>
  <c r="DF129" i="174"/>
  <c r="DA129" i="174"/>
  <c r="CZ129" i="174"/>
  <c r="CY129" i="174"/>
  <c r="CX129" i="174"/>
  <c r="CW129" i="174"/>
  <c r="CU129" i="174"/>
  <c r="CT129" i="174"/>
  <c r="CR129" i="174"/>
  <c r="CP129" i="174"/>
  <c r="CK129" i="174"/>
  <c r="CJ129" i="174"/>
  <c r="BZ129" i="174"/>
  <c r="BW129" i="174"/>
  <c r="BO129" i="174"/>
  <c r="BN129" i="174"/>
  <c r="BI129" i="174"/>
  <c r="BH129" i="174"/>
  <c r="BG129" i="174"/>
  <c r="BF129" i="174"/>
  <c r="BE129" i="174"/>
  <c r="BD129" i="174"/>
  <c r="BC129" i="174"/>
  <c r="BB129" i="174"/>
  <c r="AZ129" i="174"/>
  <c r="AX129" i="174"/>
  <c r="AR129" i="174"/>
  <c r="AQ129" i="174"/>
  <c r="AP129" i="174"/>
  <c r="AN129" i="174"/>
  <c r="AL129" i="174"/>
  <c r="AK129" i="174"/>
  <c r="AJ129" i="174"/>
  <c r="AI129" i="174"/>
  <c r="AH129" i="174"/>
  <c r="AG129" i="174"/>
  <c r="AF129" i="174"/>
  <c r="AE129" i="174"/>
  <c r="AD129" i="174"/>
  <c r="AC129" i="174"/>
  <c r="AB129" i="174"/>
  <c r="Z129" i="174"/>
  <c r="G129" i="174"/>
  <c r="ED128" i="174"/>
  <c r="EB128" i="174"/>
  <c r="EA128" i="174"/>
  <c r="DZ128" i="174"/>
  <c r="DY128" i="174"/>
  <c r="DW128" i="174"/>
  <c r="DV128" i="174"/>
  <c r="DT128" i="174"/>
  <c r="DS128" i="174"/>
  <c r="DQ128" i="174"/>
  <c r="DP128" i="174"/>
  <c r="DN128" i="174"/>
  <c r="DK128" i="174"/>
  <c r="CN128" i="174"/>
  <c r="CL128" i="174"/>
  <c r="CI128" i="174"/>
  <c r="CH128" i="174"/>
  <c r="CG128" i="174"/>
  <c r="CE128" i="174"/>
  <c r="CD128" i="174"/>
  <c r="BY128" i="174"/>
  <c r="BX128" i="174"/>
  <c r="BV128" i="174"/>
  <c r="BT128" i="174"/>
  <c r="BS128" i="174"/>
  <c r="BJ128" i="174"/>
  <c r="AV128" i="174" s="1"/>
  <c r="AU128" i="174" s="1"/>
  <c r="BQ128" i="174" s="1"/>
  <c r="Y128" i="174"/>
  <c r="ED127" i="174"/>
  <c r="EB127" i="174"/>
  <c r="DZ127" i="174"/>
  <c r="DX127" i="174"/>
  <c r="DW127" i="174"/>
  <c r="DV127" i="174"/>
  <c r="DT127" i="174"/>
  <c r="DS127" i="174"/>
  <c r="DQ127" i="174"/>
  <c r="DP127" i="174"/>
  <c r="DN127" i="174"/>
  <c r="DK127" i="174"/>
  <c r="DE127" i="174"/>
  <c r="EA127" i="174" s="1"/>
  <c r="CL127" i="174"/>
  <c r="CI127" i="174"/>
  <c r="CH127" i="174"/>
  <c r="CF127" i="174"/>
  <c r="CE127" i="174"/>
  <c r="CD127" i="174"/>
  <c r="BY127" i="174"/>
  <c r="BX127" i="174"/>
  <c r="BV127" i="174"/>
  <c r="BT127" i="174"/>
  <c r="BS127" i="174"/>
  <c r="CG127" i="174"/>
  <c r="AV127" i="174"/>
  <c r="AU127" i="174" s="1"/>
  <c r="BQ127" i="174" s="1"/>
  <c r="Y127" i="174"/>
  <c r="ED126" i="174"/>
  <c r="EB126" i="174"/>
  <c r="DZ126" i="174"/>
  <c r="DY126" i="174"/>
  <c r="DX126" i="174"/>
  <c r="DW126" i="174"/>
  <c r="DV126" i="174"/>
  <c r="DT126" i="174"/>
  <c r="DS126" i="174"/>
  <c r="DQ126" i="174"/>
  <c r="DP126" i="174"/>
  <c r="DN126" i="174"/>
  <c r="DK126" i="174"/>
  <c r="CN126" i="174"/>
  <c r="CL126" i="174"/>
  <c r="CI126" i="174"/>
  <c r="CH126" i="174"/>
  <c r="CG126" i="174"/>
  <c r="CF126" i="174"/>
  <c r="CE126" i="174"/>
  <c r="CD126" i="174"/>
  <c r="BY126" i="174"/>
  <c r="BX126" i="174"/>
  <c r="BV126" i="174"/>
  <c r="BT126" i="174"/>
  <c r="BS126" i="174"/>
  <c r="AV126" i="174"/>
  <c r="Y126" i="174"/>
  <c r="ED124" i="174"/>
  <c r="EB124" i="174"/>
  <c r="DY124" i="174"/>
  <c r="DX124" i="174"/>
  <c r="DW124" i="174"/>
  <c r="DV124" i="174"/>
  <c r="DT124" i="174"/>
  <c r="DS124" i="174"/>
  <c r="DQ124" i="174"/>
  <c r="DP124" i="174"/>
  <c r="DN124" i="174"/>
  <c r="DK124" i="174"/>
  <c r="DE124" i="174"/>
  <c r="EA124" i="174" s="1"/>
  <c r="DD206" i="174"/>
  <c r="CL124" i="174"/>
  <c r="CE124" i="174"/>
  <c r="CD124" i="174"/>
  <c r="BY124" i="174"/>
  <c r="BX124" i="174"/>
  <c r="BV124" i="174"/>
  <c r="BT124" i="174"/>
  <c r="BM124" i="174"/>
  <c r="CI124" i="174" s="1"/>
  <c r="BK124" i="174"/>
  <c r="CG124" i="174" s="1"/>
  <c r="BJ124" i="174"/>
  <c r="CF124" i="174" s="1"/>
  <c r="AW124" i="174"/>
  <c r="BS124" i="174" s="1"/>
  <c r="AO124" i="174"/>
  <c r="ED122" i="174"/>
  <c r="EB122" i="174"/>
  <c r="EA122" i="174"/>
  <c r="DZ122" i="174"/>
  <c r="DY122" i="174"/>
  <c r="DX122" i="174"/>
  <c r="DW122" i="174"/>
  <c r="DV122" i="174"/>
  <c r="DT122" i="174"/>
  <c r="DS122" i="174"/>
  <c r="DQ122" i="174"/>
  <c r="DP122" i="174"/>
  <c r="DN122" i="174"/>
  <c r="DK122" i="174"/>
  <c r="DH122" i="174"/>
  <c r="CN122" i="174" s="1"/>
  <c r="CI122" i="174"/>
  <c r="CH122" i="174"/>
  <c r="CG122" i="174"/>
  <c r="CE122" i="174"/>
  <c r="CD122" i="174"/>
  <c r="BY122" i="174"/>
  <c r="BX122" i="174"/>
  <c r="BV122" i="174"/>
  <c r="BT122" i="174"/>
  <c r="BS122" i="174"/>
  <c r="BP122" i="174"/>
  <c r="AV122" i="174" s="1"/>
  <c r="BJ122" i="174"/>
  <c r="AS122" i="174"/>
  <c r="AM122" i="174"/>
  <c r="EB118" i="174"/>
  <c r="EA118" i="174"/>
  <c r="DZ118" i="174"/>
  <c r="DY118" i="174"/>
  <c r="DW118" i="174"/>
  <c r="DV118" i="174"/>
  <c r="DT118" i="174"/>
  <c r="DS118" i="174"/>
  <c r="DQ118" i="174"/>
  <c r="DP118" i="174"/>
  <c r="DN118" i="174"/>
  <c r="DK118" i="174"/>
  <c r="DX118" i="174"/>
  <c r="CN118" i="174"/>
  <c r="CI118" i="174"/>
  <c r="CH118" i="174"/>
  <c r="CG118" i="174"/>
  <c r="CE118" i="174"/>
  <c r="CD118" i="174"/>
  <c r="CC118" i="174"/>
  <c r="CB118" i="174"/>
  <c r="CA118" i="174"/>
  <c r="BY118" i="174"/>
  <c r="BX118" i="174"/>
  <c r="BV118" i="174"/>
  <c r="BT118" i="174"/>
  <c r="BS118" i="174"/>
  <c r="BP118" i="174"/>
  <c r="CL118" i="174" s="1"/>
  <c r="BJ118" i="174"/>
  <c r="AS118" i="174"/>
  <c r="ED118" i="174" s="1"/>
  <c r="Y118" i="174"/>
  <c r="EB115" i="174"/>
  <c r="EA115" i="174"/>
  <c r="DZ115" i="174"/>
  <c r="DY115" i="174"/>
  <c r="DW115" i="174"/>
  <c r="DV115" i="174"/>
  <c r="DT115" i="174"/>
  <c r="DS115" i="174"/>
  <c r="DQ115" i="174"/>
  <c r="DP115" i="174"/>
  <c r="DN115" i="174"/>
  <c r="DK115" i="174"/>
  <c r="DH115" i="174"/>
  <c r="DB115" i="174" s="1"/>
  <c r="CI115" i="174"/>
  <c r="CH115" i="174"/>
  <c r="CG115" i="174"/>
  <c r="CE115" i="174"/>
  <c r="CD115" i="174"/>
  <c r="CC115" i="174"/>
  <c r="CB115" i="174"/>
  <c r="CA115" i="174"/>
  <c r="BY115" i="174"/>
  <c r="BX115" i="174"/>
  <c r="BV115" i="174"/>
  <c r="BT115" i="174"/>
  <c r="BS115" i="174"/>
  <c r="BP115" i="174"/>
  <c r="BJ115" i="174"/>
  <c r="CF115" i="174" s="1"/>
  <c r="AS115" i="174"/>
  <c r="DZ114" i="174"/>
  <c r="DJ114" i="174" s="1"/>
  <c r="CN114" i="174"/>
  <c r="CH114" i="174"/>
  <c r="BR114" i="174" s="1"/>
  <c r="AV114" i="174"/>
  <c r="AU114" i="174" s="1"/>
  <c r="BQ114" i="174" s="1"/>
  <c r="Y114" i="174"/>
  <c r="H114" i="174"/>
  <c r="ED113" i="174"/>
  <c r="DY113" i="174"/>
  <c r="DJ113" i="174" s="1"/>
  <c r="DP113" i="174"/>
  <c r="DK113" i="174"/>
  <c r="DC113" i="174"/>
  <c r="CN113" i="174"/>
  <c r="CM113" i="174" s="1"/>
  <c r="DI113" i="174" s="1"/>
  <c r="CL113" i="174"/>
  <c r="CH113" i="174"/>
  <c r="CF113" i="174"/>
  <c r="CE113" i="174"/>
  <c r="BV113" i="174"/>
  <c r="BT113" i="174"/>
  <c r="BS113" i="174"/>
  <c r="BK113" i="174"/>
  <c r="Y113" i="174"/>
  <c r="H113" i="174"/>
  <c r="I113" i="174" s="1"/>
  <c r="ED112" i="174"/>
  <c r="DY112" i="174"/>
  <c r="DP112" i="174"/>
  <c r="CN112" i="174"/>
  <c r="CL112" i="174"/>
  <c r="CH112" i="174"/>
  <c r="CG112" i="174"/>
  <c r="CF112" i="174"/>
  <c r="CE112" i="174"/>
  <c r="BV112" i="174"/>
  <c r="BT112" i="174"/>
  <c r="AW112" i="174"/>
  <c r="AV112" i="174"/>
  <c r="AU112" i="174" s="1"/>
  <c r="BQ112" i="174" s="1"/>
  <c r="Y112" i="174"/>
  <c r="ED111" i="174"/>
  <c r="EB111" i="174"/>
  <c r="EA111" i="174"/>
  <c r="DZ111" i="174"/>
  <c r="DY111" i="174"/>
  <c r="DX111" i="174"/>
  <c r="DW111" i="174"/>
  <c r="DV111" i="174"/>
  <c r="DT111" i="174"/>
  <c r="DS111" i="174"/>
  <c r="DQ111" i="174"/>
  <c r="DP111" i="174"/>
  <c r="DN111" i="174"/>
  <c r="DK111" i="174"/>
  <c r="CN111" i="174"/>
  <c r="CM111" i="174" s="1"/>
  <c r="DI111" i="174" s="1"/>
  <c r="CL111" i="174"/>
  <c r="CH111" i="174"/>
  <c r="CG111" i="174"/>
  <c r="CE111" i="174"/>
  <c r="CD111" i="174"/>
  <c r="CC111" i="174"/>
  <c r="CB111" i="174"/>
  <c r="CA111" i="174"/>
  <c r="BY111" i="174"/>
  <c r="BX111" i="174"/>
  <c r="BV111" i="174"/>
  <c r="BT111" i="174"/>
  <c r="BS111" i="174"/>
  <c r="CI111" i="174"/>
  <c r="AV111" i="174"/>
  <c r="AU111" i="174" s="1"/>
  <c r="BQ111" i="174" s="1"/>
  <c r="Y111" i="174"/>
  <c r="ED110" i="174"/>
  <c r="EB110" i="174"/>
  <c r="EA110" i="174"/>
  <c r="DZ110" i="174"/>
  <c r="DY110" i="174"/>
  <c r="DX110" i="174"/>
  <c r="DW110" i="174"/>
  <c r="DV110" i="174"/>
  <c r="DT110" i="174"/>
  <c r="DS110" i="174"/>
  <c r="DQ110" i="174"/>
  <c r="DP110" i="174"/>
  <c r="DJ110" i="174" s="1"/>
  <c r="DN110" i="174"/>
  <c r="DK110" i="174"/>
  <c r="CN110" i="174"/>
  <c r="CM110" i="174" s="1"/>
  <c r="DI110" i="174" s="1"/>
  <c r="CL110" i="174"/>
  <c r="CI110" i="174"/>
  <c r="CH110" i="174"/>
  <c r="CG110" i="174"/>
  <c r="CF110" i="174"/>
  <c r="CE110" i="174"/>
  <c r="CD110" i="174"/>
  <c r="CC110" i="174"/>
  <c r="CB110" i="174"/>
  <c r="CA110" i="174"/>
  <c r="BY110" i="174"/>
  <c r="BX110" i="174"/>
  <c r="BV110" i="174"/>
  <c r="BT110" i="174"/>
  <c r="BS110" i="174"/>
  <c r="BQ110" i="174"/>
  <c r="AV110" i="174"/>
  <c r="AU110" i="174" s="1"/>
  <c r="Y110" i="174"/>
  <c r="H110" i="174"/>
  <c r="I110" i="174" s="1"/>
  <c r="EB109" i="174"/>
  <c r="EA109" i="174"/>
  <c r="DZ109" i="174"/>
  <c r="DY109" i="174"/>
  <c r="DX109" i="174"/>
  <c r="DW109" i="174"/>
  <c r="DV109" i="174"/>
  <c r="DT109" i="174"/>
  <c r="DS109" i="174"/>
  <c r="DQ109" i="174"/>
  <c r="DP109" i="174"/>
  <c r="DN109" i="174"/>
  <c r="DK109" i="174"/>
  <c r="DH109" i="174"/>
  <c r="CI109" i="174"/>
  <c r="CH109" i="174"/>
  <c r="CG109" i="174"/>
  <c r="CF109" i="174"/>
  <c r="CE109" i="174"/>
  <c r="CD109" i="174"/>
  <c r="CC109" i="174"/>
  <c r="CB109" i="174"/>
  <c r="CA109" i="174"/>
  <c r="BY109" i="174"/>
  <c r="BX109" i="174"/>
  <c r="BV109" i="174"/>
  <c r="BT109" i="174"/>
  <c r="BS109" i="174"/>
  <c r="BP109" i="174"/>
  <c r="AV109" i="174"/>
  <c r="AS109" i="174"/>
  <c r="ED109" i="174" s="1"/>
  <c r="DJ109" i="174" s="1"/>
  <c r="Y109" i="174"/>
  <c r="ED108" i="174"/>
  <c r="EB108" i="174"/>
  <c r="DZ108" i="174"/>
  <c r="DY108" i="174"/>
  <c r="DX108" i="174"/>
  <c r="DW108" i="174"/>
  <c r="DV108" i="174"/>
  <c r="DT108" i="174"/>
  <c r="DS108" i="174"/>
  <c r="DQ108" i="174"/>
  <c r="DP108" i="174"/>
  <c r="DN108" i="174"/>
  <c r="DK108" i="174"/>
  <c r="DE108" i="174"/>
  <c r="CL108" i="174"/>
  <c r="CH108" i="174"/>
  <c r="CG108" i="174"/>
  <c r="CF108" i="174"/>
  <c r="CE108" i="174"/>
  <c r="CD108" i="174"/>
  <c r="BY108" i="174"/>
  <c r="BX108" i="174"/>
  <c r="BV108" i="174"/>
  <c r="BT108" i="174"/>
  <c r="BS108" i="174"/>
  <c r="BM108" i="174"/>
  <c r="AV108" i="174" s="1"/>
  <c r="AU108" i="174" s="1"/>
  <c r="BQ108" i="174" s="1"/>
  <c r="Y108" i="174"/>
  <c r="ED107" i="174"/>
  <c r="EB107" i="174"/>
  <c r="DZ107" i="174"/>
  <c r="DY107" i="174"/>
  <c r="DX107" i="174"/>
  <c r="DW107" i="174"/>
  <c r="DV107" i="174"/>
  <c r="DT107" i="174"/>
  <c r="DS107" i="174"/>
  <c r="DQ107" i="174"/>
  <c r="DP107" i="174"/>
  <c r="DN107" i="174"/>
  <c r="DK107" i="174"/>
  <c r="DJ107" i="174"/>
  <c r="DE107" i="174"/>
  <c r="EA107" i="174" s="1"/>
  <c r="CN107" i="174"/>
  <c r="CL107" i="174"/>
  <c r="CH107" i="174"/>
  <c r="CG107" i="174"/>
  <c r="CF107" i="174"/>
  <c r="CE107" i="174"/>
  <c r="CD107" i="174"/>
  <c r="BY107" i="174"/>
  <c r="BX107" i="174"/>
  <c r="BV107" i="174"/>
  <c r="BT107" i="174"/>
  <c r="BS107" i="174"/>
  <c r="BM107" i="174"/>
  <c r="Y107" i="174"/>
  <c r="ED106" i="174"/>
  <c r="EB106" i="174"/>
  <c r="DZ106" i="174"/>
  <c r="DY106" i="174"/>
  <c r="DX106" i="174"/>
  <c r="DW106" i="174"/>
  <c r="DV106" i="174"/>
  <c r="DT106" i="174"/>
  <c r="DS106" i="174"/>
  <c r="DQ106" i="174"/>
  <c r="DP106" i="174"/>
  <c r="DN106" i="174"/>
  <c r="DM106" i="174"/>
  <c r="DM206" i="174" s="1"/>
  <c r="DK106" i="174"/>
  <c r="CN106" i="174"/>
  <c r="CL106" i="174"/>
  <c r="CH106" i="174"/>
  <c r="CG106" i="174"/>
  <c r="CF106" i="174"/>
  <c r="CE106" i="174"/>
  <c r="CD106" i="174"/>
  <c r="BY106" i="174"/>
  <c r="BX106" i="174"/>
  <c r="BV106" i="174"/>
  <c r="BS106" i="174"/>
  <c r="BM106" i="174"/>
  <c r="AA106" i="174"/>
  <c r="EC104" i="174"/>
  <c r="DU104" i="174"/>
  <c r="DR104" i="174"/>
  <c r="DK104" i="174"/>
  <c r="DG104" i="174"/>
  <c r="DF104" i="174"/>
  <c r="DE104" i="174"/>
  <c r="DD104" i="174"/>
  <c r="DB104" i="174"/>
  <c r="DA104" i="174"/>
  <c r="CZ104" i="174"/>
  <c r="CY104" i="174"/>
  <c r="CX104" i="174"/>
  <c r="CW104" i="174"/>
  <c r="CP104" i="174"/>
  <c r="CO104" i="174"/>
  <c r="CK104" i="174"/>
  <c r="CH104" i="174"/>
  <c r="BZ104" i="174"/>
  <c r="BU104" i="174"/>
  <c r="BO104" i="174"/>
  <c r="BN104" i="174"/>
  <c r="BM104" i="174"/>
  <c r="BL104" i="174"/>
  <c r="BJ104" i="174"/>
  <c r="BH104" i="174"/>
  <c r="BG104" i="174"/>
  <c r="BF104" i="174"/>
  <c r="BE104" i="174"/>
  <c r="BD104" i="174"/>
  <c r="AX104" i="174"/>
  <c r="AW104" i="174"/>
  <c r="AR104" i="174"/>
  <c r="AQ104" i="174"/>
  <c r="AP104" i="174"/>
  <c r="AO104" i="174"/>
  <c r="AN104" i="174"/>
  <c r="AM104" i="174"/>
  <c r="AK104" i="174"/>
  <c r="AJ104" i="174"/>
  <c r="AI104" i="174"/>
  <c r="AH104" i="174"/>
  <c r="AG104" i="174"/>
  <c r="AD104" i="174"/>
  <c r="AB104" i="174"/>
  <c r="Z104" i="174"/>
  <c r="G104" i="174"/>
  <c r="EB103" i="174"/>
  <c r="EA103" i="174"/>
  <c r="DZ103" i="174"/>
  <c r="DY103" i="174"/>
  <c r="DX103" i="174"/>
  <c r="DW103" i="174"/>
  <c r="DV103" i="174"/>
  <c r="DT103" i="174"/>
  <c r="DS103" i="174"/>
  <c r="DQ103" i="174"/>
  <c r="DP103" i="174"/>
  <c r="DN103" i="174"/>
  <c r="CI103" i="174"/>
  <c r="CH103" i="174"/>
  <c r="CG103" i="174"/>
  <c r="CF103" i="174"/>
  <c r="CE103" i="174"/>
  <c r="CD103" i="174"/>
  <c r="CB103" i="174"/>
  <c r="CA103" i="174"/>
  <c r="BY103" i="174"/>
  <c r="BX103" i="174"/>
  <c r="BV103" i="174"/>
  <c r="BT103" i="174"/>
  <c r="BS103" i="174"/>
  <c r="BP103" i="174"/>
  <c r="AV103" i="174" s="1"/>
  <c r="AS103" i="174"/>
  <c r="Y103" i="174"/>
  <c r="ED102" i="174"/>
  <c r="EB102" i="174"/>
  <c r="EA102" i="174"/>
  <c r="DZ102" i="174"/>
  <c r="DY102" i="174"/>
  <c r="DX102" i="174"/>
  <c r="DW102" i="174"/>
  <c r="DV102" i="174"/>
  <c r="DT102" i="174"/>
  <c r="DS102" i="174"/>
  <c r="DQ102" i="174"/>
  <c r="CT102" i="174"/>
  <c r="CN102" i="174" s="1"/>
  <c r="CL102" i="174"/>
  <c r="CI102" i="174"/>
  <c r="CH102" i="174"/>
  <c r="CG102" i="174"/>
  <c r="CF102" i="174"/>
  <c r="CE102" i="174"/>
  <c r="CD102" i="174"/>
  <c r="CB102" i="174"/>
  <c r="CA102" i="174"/>
  <c r="BY102" i="174"/>
  <c r="BT102" i="174"/>
  <c r="BS102" i="174"/>
  <c r="BB102" i="174"/>
  <c r="AZ102" i="174"/>
  <c r="AV102" i="174" s="1"/>
  <c r="AE102" i="174"/>
  <c r="AC102" i="174"/>
  <c r="Y102" i="174"/>
  <c r="ED101" i="174"/>
  <c r="EB101" i="174"/>
  <c r="EA101" i="174"/>
  <c r="DZ101" i="174"/>
  <c r="DX101" i="174"/>
  <c r="DW101" i="174"/>
  <c r="DV101" i="174"/>
  <c r="DT101" i="174"/>
  <c r="DS101" i="174"/>
  <c r="DQ101" i="174"/>
  <c r="DO101" i="174"/>
  <c r="DN101" i="174"/>
  <c r="DC101" i="174"/>
  <c r="DY101" i="174" s="1"/>
  <c r="DP101" i="174"/>
  <c r="CL101" i="174"/>
  <c r="CI101" i="174"/>
  <c r="CH101" i="174"/>
  <c r="CF101" i="174"/>
  <c r="CE101" i="174"/>
  <c r="CD101" i="174"/>
  <c r="CB101" i="174"/>
  <c r="CA101" i="174"/>
  <c r="BY101" i="174"/>
  <c r="BX101" i="174"/>
  <c r="BW101" i="174"/>
  <c r="BW204" i="174" s="1"/>
  <c r="BT101" i="174"/>
  <c r="BS101" i="174"/>
  <c r="BK101" i="174"/>
  <c r="BB101" i="174"/>
  <c r="AE101" i="174"/>
  <c r="AC101" i="174"/>
  <c r="ED99" i="174"/>
  <c r="EB99" i="174"/>
  <c r="EA99" i="174"/>
  <c r="DZ99" i="174"/>
  <c r="DY99" i="174"/>
  <c r="DX99" i="174"/>
  <c r="DW99" i="174"/>
  <c r="DV99" i="174"/>
  <c r="DT99" i="174"/>
  <c r="DS99" i="174"/>
  <c r="DQ99" i="174"/>
  <c r="DP99" i="174"/>
  <c r="DN99" i="174"/>
  <c r="CN99" i="174"/>
  <c r="CM99" i="174"/>
  <c r="DI99" i="174" s="1"/>
  <c r="CL99" i="174"/>
  <c r="CI99" i="174"/>
  <c r="CH99" i="174"/>
  <c r="CG99" i="174"/>
  <c r="CF99" i="174"/>
  <c r="CE99" i="174"/>
  <c r="CD99" i="174"/>
  <c r="CB99" i="174"/>
  <c r="CA99" i="174"/>
  <c r="BY99" i="174"/>
  <c r="BX99" i="174"/>
  <c r="BV99" i="174"/>
  <c r="BR99" i="174" s="1"/>
  <c r="BT99" i="174"/>
  <c r="BS99" i="174"/>
  <c r="BK99" i="174"/>
  <c r="BB99" i="174"/>
  <c r="AN99" i="174"/>
  <c r="AE99" i="174"/>
  <c r="Y99" i="174"/>
  <c r="H99" i="174"/>
  <c r="I99" i="174" s="1"/>
  <c r="ED98" i="174"/>
  <c r="EB98" i="174"/>
  <c r="EA98" i="174"/>
  <c r="DZ98" i="174"/>
  <c r="DY98" i="174"/>
  <c r="DX98" i="174"/>
  <c r="DW98" i="174"/>
  <c r="DV98" i="174"/>
  <c r="DT98" i="174"/>
  <c r="DS98" i="174"/>
  <c r="DQ98" i="174"/>
  <c r="DN98" i="174"/>
  <c r="DM98" i="174"/>
  <c r="DL98" i="174"/>
  <c r="CT98" i="174"/>
  <c r="CN98" i="174" s="1"/>
  <c r="CL98" i="174"/>
  <c r="CI98" i="174"/>
  <c r="CH98" i="174"/>
  <c r="CG98" i="174"/>
  <c r="CF98" i="174"/>
  <c r="CE98" i="174"/>
  <c r="CD98" i="174"/>
  <c r="CB98" i="174"/>
  <c r="CA98" i="174"/>
  <c r="BY98" i="174"/>
  <c r="BV98" i="174"/>
  <c r="BS98" i="174"/>
  <c r="BB98" i="174"/>
  <c r="AV98" i="174" s="1"/>
  <c r="AE98" i="174"/>
  <c r="AA98" i="174"/>
  <c r="BT98" i="174" s="1"/>
  <c r="ED97" i="174"/>
  <c r="EB97" i="174"/>
  <c r="EA97" i="174"/>
  <c r="DZ97" i="174"/>
  <c r="DY97" i="174"/>
  <c r="DX97" i="174"/>
  <c r="DW97" i="174"/>
  <c r="DV97" i="174"/>
  <c r="DT97" i="174"/>
  <c r="DS97" i="174"/>
  <c r="DQ97" i="174"/>
  <c r="DP97" i="174"/>
  <c r="DN97" i="174"/>
  <c r="DJ97" i="174"/>
  <c r="CN97" i="174"/>
  <c r="CL97" i="174"/>
  <c r="CI97" i="174"/>
  <c r="CH97" i="174"/>
  <c r="CG97" i="174"/>
  <c r="CF97" i="174"/>
  <c r="CE97" i="174"/>
  <c r="CD97" i="174"/>
  <c r="CB97" i="174"/>
  <c r="CA97" i="174"/>
  <c r="BY97" i="174"/>
  <c r="BX97" i="174"/>
  <c r="BV97" i="174"/>
  <c r="BT97" i="174"/>
  <c r="BS97" i="174"/>
  <c r="BB97" i="174"/>
  <c r="AV97" i="174" s="1"/>
  <c r="AE97" i="174"/>
  <c r="Y97" i="174"/>
  <c r="I97" i="174" s="1"/>
  <c r="H97" i="174"/>
  <c r="ED96" i="174"/>
  <c r="EB96" i="174"/>
  <c r="EA96" i="174"/>
  <c r="DZ96" i="174"/>
  <c r="DY96" i="174"/>
  <c r="DX96" i="174"/>
  <c r="DW96" i="174"/>
  <c r="DV96" i="174"/>
  <c r="DT96" i="174"/>
  <c r="DS96" i="174"/>
  <c r="DQ96" i="174"/>
  <c r="DN96" i="174"/>
  <c r="DM96" i="174"/>
  <c r="DL96" i="174"/>
  <c r="CT96" i="174"/>
  <c r="CN96" i="174" s="1"/>
  <c r="H96" i="174" s="1"/>
  <c r="CM96" i="174"/>
  <c r="DI96" i="174" s="1"/>
  <c r="CL96" i="174"/>
  <c r="CI96" i="174"/>
  <c r="CH96" i="174"/>
  <c r="CG96" i="174"/>
  <c r="CF96" i="174"/>
  <c r="CE96" i="174"/>
  <c r="CD96" i="174"/>
  <c r="CB96" i="174"/>
  <c r="CA96" i="174"/>
  <c r="BY96" i="174"/>
  <c r="BV96" i="174"/>
  <c r="BT96" i="174"/>
  <c r="BS96" i="174"/>
  <c r="BB96" i="174"/>
  <c r="BX96" i="174" s="1"/>
  <c r="AV96" i="174"/>
  <c r="AA96" i="174"/>
  <c r="Y96" i="174"/>
  <c r="ED95" i="174"/>
  <c r="EB95" i="174"/>
  <c r="EA95" i="174"/>
  <c r="DZ95" i="174"/>
  <c r="DY95" i="174"/>
  <c r="DX95" i="174"/>
  <c r="DW95" i="174"/>
  <c r="DV95" i="174"/>
  <c r="DT95" i="174"/>
  <c r="DS95" i="174"/>
  <c r="DQ95" i="174"/>
  <c r="DP95" i="174"/>
  <c r="DN95" i="174"/>
  <c r="DM95" i="174"/>
  <c r="CN95" i="174"/>
  <c r="H95" i="174" s="1"/>
  <c r="CL95" i="174"/>
  <c r="CI95" i="174"/>
  <c r="CH95" i="174"/>
  <c r="CG95" i="174"/>
  <c r="CF95" i="174"/>
  <c r="CE95" i="174"/>
  <c r="CD95" i="174"/>
  <c r="CB95" i="174"/>
  <c r="CA95" i="174"/>
  <c r="BY95" i="174"/>
  <c r="BV95" i="174"/>
  <c r="BT95" i="174"/>
  <c r="BS95" i="174"/>
  <c r="BB95" i="174"/>
  <c r="BX95" i="174" s="1"/>
  <c r="BR95" i="174" s="1"/>
  <c r="AV95" i="174"/>
  <c r="AE95" i="174"/>
  <c r="AA95" i="174"/>
  <c r="ED94" i="174"/>
  <c r="EB94" i="174"/>
  <c r="EA94" i="174"/>
  <c r="DZ94" i="174"/>
  <c r="DY94" i="174"/>
  <c r="DX94" i="174"/>
  <c r="DW94" i="174"/>
  <c r="DV94" i="174"/>
  <c r="DT94" i="174"/>
  <c r="DS94" i="174"/>
  <c r="DQ94" i="174"/>
  <c r="DP94" i="174"/>
  <c r="DN94" i="174"/>
  <c r="CN94" i="174"/>
  <c r="H94" i="174" s="1"/>
  <c r="CM94" i="174"/>
  <c r="DI94" i="174" s="1"/>
  <c r="CL94" i="174"/>
  <c r="CI94" i="174"/>
  <c r="CH94" i="174"/>
  <c r="CG94" i="174"/>
  <c r="CF94" i="174"/>
  <c r="CE94" i="174"/>
  <c r="CD94" i="174"/>
  <c r="CB94" i="174"/>
  <c r="CA94" i="174"/>
  <c r="BY94" i="174"/>
  <c r="BX94" i="174"/>
  <c r="BR94" i="174" s="1"/>
  <c r="BV94" i="174"/>
  <c r="BT94" i="174"/>
  <c r="BS94" i="174"/>
  <c r="AV94" i="174"/>
  <c r="AU94" i="174" s="1"/>
  <c r="BQ94" i="174" s="1"/>
  <c r="Y94" i="174"/>
  <c r="ED93" i="174"/>
  <c r="EB93" i="174"/>
  <c r="EA93" i="174"/>
  <c r="DZ93" i="174"/>
  <c r="DY93" i="174"/>
  <c r="DX93" i="174"/>
  <c r="DW93" i="174"/>
  <c r="DV93" i="174"/>
  <c r="DT93" i="174"/>
  <c r="DS93" i="174"/>
  <c r="DQ93" i="174"/>
  <c r="DN93" i="174"/>
  <c r="CT93" i="174"/>
  <c r="CN93" i="174" s="1"/>
  <c r="H93" i="174" s="1"/>
  <c r="CL93" i="174"/>
  <c r="CI93" i="174"/>
  <c r="CH93" i="174"/>
  <c r="CG93" i="174"/>
  <c r="CF93" i="174"/>
  <c r="CE93" i="174"/>
  <c r="CD93" i="174"/>
  <c r="CB93" i="174"/>
  <c r="CA93" i="174"/>
  <c r="BY93" i="174"/>
  <c r="BV93" i="174"/>
  <c r="BT93" i="174"/>
  <c r="BS93" i="174"/>
  <c r="Y93" i="174"/>
  <c r="ED92" i="174"/>
  <c r="EB92" i="174"/>
  <c r="EA92" i="174"/>
  <c r="DZ92" i="174"/>
  <c r="DY92" i="174"/>
  <c r="DX92" i="174"/>
  <c r="DW92" i="174"/>
  <c r="DV92" i="174"/>
  <c r="DT92" i="174"/>
  <c r="DS92" i="174"/>
  <c r="DQ92" i="174"/>
  <c r="DP92" i="174"/>
  <c r="DJ92" i="174" s="1"/>
  <c r="DN92" i="174"/>
  <c r="CT92" i="174"/>
  <c r="CN92" i="174"/>
  <c r="CL92" i="174"/>
  <c r="CI92" i="174"/>
  <c r="CH92" i="174"/>
  <c r="CG92" i="174"/>
  <c r="CF92" i="174"/>
  <c r="CE92" i="174"/>
  <c r="CD92" i="174"/>
  <c r="CB92" i="174"/>
  <c r="CA92" i="174"/>
  <c r="BY92" i="174"/>
  <c r="BX92" i="174"/>
  <c r="BV92" i="174"/>
  <c r="BT92" i="174"/>
  <c r="BS92" i="174"/>
  <c r="BB92" i="174"/>
  <c r="AV92" i="174"/>
  <c r="AU92" i="174"/>
  <c r="BQ92" i="174" s="1"/>
  <c r="AF92" i="174"/>
  <c r="Y92" i="174"/>
  <c r="ED91" i="174"/>
  <c r="EB91" i="174"/>
  <c r="EA91" i="174"/>
  <c r="DZ91" i="174"/>
  <c r="DY91" i="174"/>
  <c r="DX91" i="174"/>
  <c r="DW91" i="174"/>
  <c r="DV91" i="174"/>
  <c r="DT91" i="174"/>
  <c r="DS91" i="174"/>
  <c r="DP91" i="174"/>
  <c r="DN91" i="174"/>
  <c r="CU91" i="174"/>
  <c r="CN91" i="174" s="1"/>
  <c r="H91" i="174" s="1"/>
  <c r="I91" i="174" s="1"/>
  <c r="CL91" i="174"/>
  <c r="CI91" i="174"/>
  <c r="CH91" i="174"/>
  <c r="CG91" i="174"/>
  <c r="CF91" i="174"/>
  <c r="CE91" i="174"/>
  <c r="CD91" i="174"/>
  <c r="CB91" i="174"/>
  <c r="CA91" i="174"/>
  <c r="BX91" i="174"/>
  <c r="BV91" i="174"/>
  <c r="BT91" i="174"/>
  <c r="BS91" i="174"/>
  <c r="BC91" i="174"/>
  <c r="AV91" i="174" s="1"/>
  <c r="AU91" i="174" s="1"/>
  <c r="BQ91" i="174" s="1"/>
  <c r="AF91" i="174"/>
  <c r="Y91" i="174" s="1"/>
  <c r="ED90" i="174"/>
  <c r="EB90" i="174"/>
  <c r="EA90" i="174"/>
  <c r="DZ90" i="174"/>
  <c r="DX90" i="174"/>
  <c r="DW90" i="174"/>
  <c r="DV90" i="174"/>
  <c r="DT90" i="174"/>
  <c r="DS90" i="174"/>
  <c r="DQ90" i="174"/>
  <c r="DP90" i="174"/>
  <c r="DC90" i="174"/>
  <c r="DY90" i="174" s="1"/>
  <c r="CR90" i="174"/>
  <c r="CR204" i="174" s="1"/>
  <c r="CL90" i="174"/>
  <c r="CI90" i="174"/>
  <c r="CH90" i="174"/>
  <c r="CF90" i="174"/>
  <c r="CE90" i="174"/>
  <c r="CD90" i="174"/>
  <c r="CB90" i="174"/>
  <c r="CA90" i="174"/>
  <c r="BY90" i="174"/>
  <c r="BX90" i="174"/>
  <c r="BT90" i="174"/>
  <c r="BS90" i="174"/>
  <c r="BK90" i="174"/>
  <c r="CG90" i="174" s="1"/>
  <c r="AZ90" i="174"/>
  <c r="BV90" i="174" s="1"/>
  <c r="Y90" i="174"/>
  <c r="ED89" i="174"/>
  <c r="EB89" i="174"/>
  <c r="EA89" i="174"/>
  <c r="DZ89" i="174"/>
  <c r="DY89" i="174"/>
  <c r="DX89" i="174"/>
  <c r="DW89" i="174"/>
  <c r="DV89" i="174"/>
  <c r="DT89" i="174"/>
  <c r="DS89" i="174"/>
  <c r="DQ89" i="174"/>
  <c r="DP89" i="174"/>
  <c r="DN89" i="174"/>
  <c r="CN89" i="174"/>
  <c r="H89" i="174" s="1"/>
  <c r="CL89" i="174"/>
  <c r="CI89" i="174"/>
  <c r="CH89" i="174"/>
  <c r="CF89" i="174"/>
  <c r="CE89" i="174"/>
  <c r="CD89" i="174"/>
  <c r="CB89" i="174"/>
  <c r="CA89" i="174"/>
  <c r="BY89" i="174"/>
  <c r="BV89" i="174"/>
  <c r="BT89" i="174"/>
  <c r="BS89" i="174"/>
  <c r="BK89" i="174"/>
  <c r="CG89" i="174" s="1"/>
  <c r="BB89" i="174"/>
  <c r="AC89" i="174"/>
  <c r="Y89" i="174" s="1"/>
  <c r="I89" i="174" s="1"/>
  <c r="ED88" i="174"/>
  <c r="EB88" i="174"/>
  <c r="EA88" i="174"/>
  <c r="DZ88" i="174"/>
  <c r="DY88" i="174"/>
  <c r="DX88" i="174"/>
  <c r="DW88" i="174"/>
  <c r="DV88" i="174"/>
  <c r="DT88" i="174"/>
  <c r="DS88" i="174"/>
  <c r="DQ88" i="174"/>
  <c r="DP88" i="174"/>
  <c r="DN88" i="174"/>
  <c r="DM88" i="174"/>
  <c r="DL88" i="174"/>
  <c r="DJ88" i="174" s="1"/>
  <c r="CN88" i="174"/>
  <c r="CL88" i="174"/>
  <c r="CI88" i="174"/>
  <c r="CH88" i="174"/>
  <c r="CG88" i="174"/>
  <c r="CF88" i="174"/>
  <c r="CE88" i="174"/>
  <c r="CD88" i="174"/>
  <c r="CB88" i="174"/>
  <c r="CA88" i="174"/>
  <c r="BY88" i="174"/>
  <c r="BX88" i="174"/>
  <c r="BV88" i="174"/>
  <c r="BT88" i="174"/>
  <c r="BS88" i="174"/>
  <c r="AV88" i="174"/>
  <c r="AA88" i="174"/>
  <c r="Y88" i="174"/>
  <c r="H88" i="174"/>
  <c r="ED87" i="174"/>
  <c r="EB87" i="174"/>
  <c r="EA87" i="174"/>
  <c r="DZ87" i="174"/>
  <c r="DY87" i="174"/>
  <c r="DX87" i="174"/>
  <c r="DV87" i="174"/>
  <c r="DT87" i="174"/>
  <c r="DS87" i="174"/>
  <c r="DQ87" i="174"/>
  <c r="DP87" i="174"/>
  <c r="DN87" i="174"/>
  <c r="DA204" i="174"/>
  <c r="CN87" i="174"/>
  <c r="H87" i="174" s="1"/>
  <c r="CL87" i="174"/>
  <c r="CI87" i="174"/>
  <c r="CH87" i="174"/>
  <c r="CG87" i="174"/>
  <c r="CF87" i="174"/>
  <c r="CD87" i="174"/>
  <c r="CB87" i="174"/>
  <c r="CA87" i="174"/>
  <c r="BY87" i="174"/>
  <c r="BX87" i="174"/>
  <c r="BV87" i="174"/>
  <c r="BT87" i="174"/>
  <c r="BS87" i="174"/>
  <c r="AV87" i="174"/>
  <c r="AL87" i="174"/>
  <c r="EB86" i="174"/>
  <c r="EA86" i="174"/>
  <c r="DZ86" i="174"/>
  <c r="DY86" i="174"/>
  <c r="DX86" i="174"/>
  <c r="DW86" i="174"/>
  <c r="DV86" i="174"/>
  <c r="DT86" i="174"/>
  <c r="DS86" i="174"/>
  <c r="DQ86" i="174"/>
  <c r="DP86" i="174"/>
  <c r="DN86" i="174"/>
  <c r="CN86" i="174"/>
  <c r="H86" i="174" s="1"/>
  <c r="CI86" i="174"/>
  <c r="CH86" i="174"/>
  <c r="CG86" i="174"/>
  <c r="CF86" i="174"/>
  <c r="CE86" i="174"/>
  <c r="CD86" i="174"/>
  <c r="CB86" i="174"/>
  <c r="CA86" i="174"/>
  <c r="BY86" i="174"/>
  <c r="BX86" i="174"/>
  <c r="BV86" i="174"/>
  <c r="BT86" i="174"/>
  <c r="BS86" i="174"/>
  <c r="AS86" i="174"/>
  <c r="Y86" i="174"/>
  <c r="ED85" i="174"/>
  <c r="EB85" i="174"/>
  <c r="EA85" i="174"/>
  <c r="DZ85" i="174"/>
  <c r="DY85" i="174"/>
  <c r="DX85" i="174"/>
  <c r="DW85" i="174"/>
  <c r="DV85" i="174"/>
  <c r="DT85" i="174"/>
  <c r="DS85" i="174"/>
  <c r="DQ85" i="174"/>
  <c r="DP85" i="174"/>
  <c r="DN85" i="174"/>
  <c r="CN85" i="174"/>
  <c r="H85" i="174" s="1"/>
  <c r="CI85" i="174"/>
  <c r="CH85" i="174"/>
  <c r="CG85" i="174"/>
  <c r="CF85" i="174"/>
  <c r="CE85" i="174"/>
  <c r="CD85" i="174"/>
  <c r="CB85" i="174"/>
  <c r="CA85" i="174"/>
  <c r="BY85" i="174"/>
  <c r="BX85" i="174"/>
  <c r="BV85" i="174"/>
  <c r="BT85" i="174"/>
  <c r="BS85" i="174"/>
  <c r="BP85" i="174"/>
  <c r="AV85" i="174" s="1"/>
  <c r="AU85" i="174" s="1"/>
  <c r="BQ85" i="174" s="1"/>
  <c r="AS85" i="174"/>
  <c r="Y85" i="174"/>
  <c r="ED84" i="174"/>
  <c r="EB84" i="174"/>
  <c r="EA84" i="174"/>
  <c r="DZ84" i="174"/>
  <c r="DY84" i="174"/>
  <c r="DX84" i="174"/>
  <c r="DW84" i="174"/>
  <c r="DV84" i="174"/>
  <c r="DT84" i="174"/>
  <c r="DS84" i="174"/>
  <c r="DP84" i="174"/>
  <c r="DN84" i="174"/>
  <c r="DM84" i="174"/>
  <c r="DL84" i="174"/>
  <c r="CL84" i="174"/>
  <c r="CI84" i="174"/>
  <c r="CH84" i="174"/>
  <c r="CG84" i="174"/>
  <c r="CF84" i="174"/>
  <c r="CE84" i="174"/>
  <c r="CD84" i="174"/>
  <c r="CC84" i="174"/>
  <c r="CB84" i="174"/>
  <c r="CA84" i="174"/>
  <c r="BY84" i="174"/>
  <c r="BX84" i="174"/>
  <c r="BV84" i="174"/>
  <c r="BT84" i="174"/>
  <c r="BS84" i="174"/>
  <c r="AV84" i="174"/>
  <c r="AU84" i="174" s="1"/>
  <c r="BQ84" i="174" s="1"/>
  <c r="AF84" i="174"/>
  <c r="AA84" i="174"/>
  <c r="Y84" i="174"/>
  <c r="ED83" i="174"/>
  <c r="EB83" i="174"/>
  <c r="EA83" i="174"/>
  <c r="DZ83" i="174"/>
  <c r="DY83" i="174"/>
  <c r="DX83" i="174"/>
  <c r="DW83" i="174"/>
  <c r="DV83" i="174"/>
  <c r="DT83" i="174"/>
  <c r="DJ83" i="174" s="1"/>
  <c r="DS83" i="174"/>
  <c r="DP83" i="174"/>
  <c r="DN83" i="174"/>
  <c r="DM83" i="174"/>
  <c r="DQ83" i="174"/>
  <c r="CN83" i="174"/>
  <c r="CM83" i="174" s="1"/>
  <c r="DI83" i="174" s="1"/>
  <c r="CL83" i="174"/>
  <c r="CI83" i="174"/>
  <c r="CH83" i="174"/>
  <c r="CG83" i="174"/>
  <c r="CF83" i="174"/>
  <c r="CE83" i="174"/>
  <c r="CD83" i="174"/>
  <c r="CC83" i="174"/>
  <c r="CB83" i="174"/>
  <c r="CA83" i="174"/>
  <c r="BX83" i="174"/>
  <c r="BV83" i="174"/>
  <c r="BT83" i="174"/>
  <c r="BS83" i="174"/>
  <c r="AA83" i="174"/>
  <c r="DL83" i="174" s="1"/>
  <c r="Y83" i="174"/>
  <c r="H83" i="174"/>
  <c r="EB82" i="174"/>
  <c r="EA82" i="174"/>
  <c r="DZ82" i="174"/>
  <c r="DY82" i="174"/>
  <c r="DX82" i="174"/>
  <c r="DW82" i="174"/>
  <c r="DV82" i="174"/>
  <c r="DT82" i="174"/>
  <c r="DS82" i="174"/>
  <c r="DQ82" i="174"/>
  <c r="DP82" i="174"/>
  <c r="DN82" i="174"/>
  <c r="CL82" i="174"/>
  <c r="CI82" i="174"/>
  <c r="CH82" i="174"/>
  <c r="CG82" i="174"/>
  <c r="CF82" i="174"/>
  <c r="CE82" i="174"/>
  <c r="CD82" i="174"/>
  <c r="CC82" i="174"/>
  <c r="CB82" i="174"/>
  <c r="CA82" i="174"/>
  <c r="BY82" i="174"/>
  <c r="BX82" i="174"/>
  <c r="BV82" i="174"/>
  <c r="BT82" i="174"/>
  <c r="BS82" i="174"/>
  <c r="BP82" i="174"/>
  <c r="AV82" i="174" s="1"/>
  <c r="AU82" i="174" s="1"/>
  <c r="BQ82" i="174" s="1"/>
  <c r="AS82" i="174"/>
  <c r="Y82" i="174" s="1"/>
  <c r="ED81" i="174"/>
  <c r="EB81" i="174"/>
  <c r="EA81" i="174"/>
  <c r="DZ81" i="174"/>
  <c r="DY81" i="174"/>
  <c r="DX81" i="174"/>
  <c r="DW81" i="174"/>
  <c r="DV81" i="174"/>
  <c r="DT81" i="174"/>
  <c r="DS81" i="174"/>
  <c r="DP81" i="174"/>
  <c r="DN81" i="174"/>
  <c r="CN81" i="174"/>
  <c r="CL81" i="174"/>
  <c r="CJ81" i="174"/>
  <c r="CI81" i="174"/>
  <c r="CH81" i="174"/>
  <c r="CG81" i="174"/>
  <c r="CF81" i="174"/>
  <c r="CE81" i="174"/>
  <c r="CD81" i="174"/>
  <c r="CC81" i="174"/>
  <c r="CB81" i="174"/>
  <c r="CA81" i="174"/>
  <c r="BX81" i="174"/>
  <c r="BV81" i="174"/>
  <c r="BT81" i="174"/>
  <c r="BS81" i="174"/>
  <c r="BC81" i="174"/>
  <c r="BY81" i="174" s="1"/>
  <c r="AV81" i="174"/>
  <c r="AU81" i="174" s="1"/>
  <c r="BQ81" i="174" s="1"/>
  <c r="AF81" i="174"/>
  <c r="DQ81" i="174" s="1"/>
  <c r="Y81" i="174"/>
  <c r="EB80" i="174"/>
  <c r="EA80" i="174"/>
  <c r="DZ80" i="174"/>
  <c r="DY80" i="174"/>
  <c r="DX80" i="174"/>
  <c r="DW80" i="174"/>
  <c r="DV80" i="174"/>
  <c r="DT80" i="174"/>
  <c r="DS80" i="174"/>
  <c r="DQ80" i="174"/>
  <c r="DP80" i="174"/>
  <c r="DN80" i="174"/>
  <c r="DH80" i="174"/>
  <c r="CN80" i="174" s="1"/>
  <c r="H80" i="174" s="1"/>
  <c r="CI80" i="174"/>
  <c r="CH80" i="174"/>
  <c r="CG80" i="174"/>
  <c r="CF80" i="174"/>
  <c r="CE80" i="174"/>
  <c r="CD80" i="174"/>
  <c r="CB80" i="174"/>
  <c r="CA80" i="174"/>
  <c r="BY80" i="174"/>
  <c r="BX80" i="174"/>
  <c r="BV80" i="174"/>
  <c r="BT80" i="174"/>
  <c r="BS80" i="174"/>
  <c r="BP80" i="174"/>
  <c r="AV80" i="174" s="1"/>
  <c r="AS80" i="174"/>
  <c r="ED79" i="174"/>
  <c r="EB79" i="174"/>
  <c r="EA79" i="174"/>
  <c r="DZ79" i="174"/>
  <c r="DY79" i="174"/>
  <c r="DX79" i="174"/>
  <c r="DW79" i="174"/>
  <c r="DV79" i="174"/>
  <c r="DT79" i="174"/>
  <c r="DS79" i="174"/>
  <c r="DQ79" i="174"/>
  <c r="DP79" i="174"/>
  <c r="DN79" i="174"/>
  <c r="DH79" i="174"/>
  <c r="CN79" i="174"/>
  <c r="CM79" i="174" s="1"/>
  <c r="DI79" i="174" s="1"/>
  <c r="CI79" i="174"/>
  <c r="CH79" i="174"/>
  <c r="CG79" i="174"/>
  <c r="CF79" i="174"/>
  <c r="CE79" i="174"/>
  <c r="CD79" i="174"/>
  <c r="CC79" i="174"/>
  <c r="CB79" i="174"/>
  <c r="CA79" i="174"/>
  <c r="BY79" i="174"/>
  <c r="BX79" i="174"/>
  <c r="BV79" i="174"/>
  <c r="BT79" i="174"/>
  <c r="BS79" i="174"/>
  <c r="BP79" i="174"/>
  <c r="CL79" i="174" s="1"/>
  <c r="AS79" i="174"/>
  <c r="Y79" i="174"/>
  <c r="H79" i="174"/>
  <c r="ED78" i="174"/>
  <c r="EB78" i="174"/>
  <c r="EA78" i="174"/>
  <c r="DZ78" i="174"/>
  <c r="DY78" i="174"/>
  <c r="DX78" i="174"/>
  <c r="DW78" i="174"/>
  <c r="DV78" i="174"/>
  <c r="DT78" i="174"/>
  <c r="DS78" i="174"/>
  <c r="DP78" i="174"/>
  <c r="DN78" i="174"/>
  <c r="DM78" i="174"/>
  <c r="CN78" i="174"/>
  <c r="CL78" i="174"/>
  <c r="CI78" i="174"/>
  <c r="CH78" i="174"/>
  <c r="CG78" i="174"/>
  <c r="CF78" i="174"/>
  <c r="CE78" i="174"/>
  <c r="CD78" i="174"/>
  <c r="CC78" i="174"/>
  <c r="CB78" i="174"/>
  <c r="CA78" i="174"/>
  <c r="BX78" i="174"/>
  <c r="BV78" i="174"/>
  <c r="BT78" i="174"/>
  <c r="BS78" i="174"/>
  <c r="BC78" i="174"/>
  <c r="BC104" i="174" s="1"/>
  <c r="AV78" i="174"/>
  <c r="AF78" i="174"/>
  <c r="BY78" i="174" s="1"/>
  <c r="AA78" i="174"/>
  <c r="Y78" i="174"/>
  <c r="ED77" i="174"/>
  <c r="EB77" i="174"/>
  <c r="EA77" i="174"/>
  <c r="DZ77" i="174"/>
  <c r="DY77" i="174"/>
  <c r="DX77" i="174"/>
  <c r="DW77" i="174"/>
  <c r="DV77" i="174"/>
  <c r="DT77" i="174"/>
  <c r="DS77" i="174"/>
  <c r="DQ77" i="174"/>
  <c r="DP77" i="174"/>
  <c r="DN77" i="174"/>
  <c r="CN77" i="174"/>
  <c r="CM77" i="174"/>
  <c r="DI77" i="174" s="1"/>
  <c r="CI77" i="174"/>
  <c r="CH77" i="174"/>
  <c r="CG77" i="174"/>
  <c r="CF77" i="174"/>
  <c r="CE77" i="174"/>
  <c r="CD77" i="174"/>
  <c r="CC77" i="174"/>
  <c r="CB77" i="174"/>
  <c r="CA77" i="174"/>
  <c r="BY77" i="174"/>
  <c r="BX77" i="174"/>
  <c r="BV77" i="174"/>
  <c r="BT77" i="174"/>
  <c r="BS77" i="174"/>
  <c r="BP77" i="174"/>
  <c r="AV77" i="174" s="1"/>
  <c r="AU77" i="174" s="1"/>
  <c r="BQ77" i="174" s="1"/>
  <c r="AS77" i="174"/>
  <c r="Y77" i="174" s="1"/>
  <c r="H77" i="174"/>
  <c r="ED76" i="174"/>
  <c r="EB76" i="174"/>
  <c r="EA76" i="174"/>
  <c r="DZ76" i="174"/>
  <c r="DY76" i="174"/>
  <c r="DX76" i="174"/>
  <c r="DW76" i="174"/>
  <c r="DV76" i="174"/>
  <c r="DT76" i="174"/>
  <c r="DS76" i="174"/>
  <c r="DQ76" i="174"/>
  <c r="DN76" i="174"/>
  <c r="CT76" i="174"/>
  <c r="CN76" i="174" s="1"/>
  <c r="CL76" i="174"/>
  <c r="CJ76" i="174"/>
  <c r="CI76" i="174"/>
  <c r="CH76" i="174"/>
  <c r="CG76" i="174"/>
  <c r="CF76" i="174"/>
  <c r="CE76" i="174"/>
  <c r="CD76" i="174"/>
  <c r="CC76" i="174"/>
  <c r="CB76" i="174"/>
  <c r="CA76" i="174"/>
  <c r="BY76" i="174"/>
  <c r="BV76" i="174"/>
  <c r="BT76" i="174"/>
  <c r="BS76" i="174"/>
  <c r="BB76" i="174"/>
  <c r="Y76" i="174"/>
  <c r="ED75" i="174"/>
  <c r="EB75" i="174"/>
  <c r="EA75" i="174"/>
  <c r="DZ75" i="174"/>
  <c r="DX75" i="174"/>
  <c r="DW75" i="174"/>
  <c r="DV75" i="174"/>
  <c r="DT75" i="174"/>
  <c r="DS75" i="174"/>
  <c r="DQ75" i="174"/>
  <c r="DN75" i="174"/>
  <c r="DY75" i="174"/>
  <c r="CT75" i="174"/>
  <c r="CL75" i="174"/>
  <c r="CJ75" i="174"/>
  <c r="CI75" i="174"/>
  <c r="CH75" i="174"/>
  <c r="CG75" i="174"/>
  <c r="CF75" i="174"/>
  <c r="CE75" i="174"/>
  <c r="CD75" i="174"/>
  <c r="CC75" i="174"/>
  <c r="CB75" i="174"/>
  <c r="CA75" i="174"/>
  <c r="BY75" i="174"/>
  <c r="BV75" i="174"/>
  <c r="BT75" i="174"/>
  <c r="BS75" i="174"/>
  <c r="BK75" i="174"/>
  <c r="BB75" i="174"/>
  <c r="BX75" i="174" s="1"/>
  <c r="AV75" i="174"/>
  <c r="Y75" i="174"/>
  <c r="ED74" i="174"/>
  <c r="EB74" i="174"/>
  <c r="EA74" i="174"/>
  <c r="DZ74" i="174"/>
  <c r="DY74" i="174"/>
  <c r="DX74" i="174"/>
  <c r="DW74" i="174"/>
  <c r="DV74" i="174"/>
  <c r="DT74" i="174"/>
  <c r="DS74" i="174"/>
  <c r="DP74" i="174"/>
  <c r="DN74" i="174"/>
  <c r="CN74" i="174"/>
  <c r="CL74" i="174"/>
  <c r="CJ74" i="174"/>
  <c r="CI74" i="174"/>
  <c r="CH74" i="174"/>
  <c r="CG74" i="174"/>
  <c r="CF74" i="174"/>
  <c r="CE74" i="174"/>
  <c r="CD74" i="174"/>
  <c r="CC74" i="174"/>
  <c r="CB74" i="174"/>
  <c r="CA74" i="174"/>
  <c r="BY74" i="174"/>
  <c r="BX74" i="174"/>
  <c r="BV74" i="174"/>
  <c r="BT74" i="174"/>
  <c r="BS74" i="174"/>
  <c r="AV74" i="174"/>
  <c r="AF74" i="174"/>
  <c r="Y74" i="174"/>
  <c r="ED73" i="174"/>
  <c r="EB73" i="174"/>
  <c r="EA73" i="174"/>
  <c r="DZ73" i="174"/>
  <c r="DY73" i="174"/>
  <c r="DX73" i="174"/>
  <c r="DW73" i="174"/>
  <c r="DV73" i="174"/>
  <c r="DT73" i="174"/>
  <c r="DS73" i="174"/>
  <c r="DQ73" i="174"/>
  <c r="DP73" i="174"/>
  <c r="DN73" i="174"/>
  <c r="CN73" i="174"/>
  <c r="CI73" i="174"/>
  <c r="CH73" i="174"/>
  <c r="CG73" i="174"/>
  <c r="CF73" i="174"/>
  <c r="CE73" i="174"/>
  <c r="CD73" i="174"/>
  <c r="CC73" i="174"/>
  <c r="CB73" i="174"/>
  <c r="BY73" i="174"/>
  <c r="BX73" i="174"/>
  <c r="BV73" i="174"/>
  <c r="BT73" i="174"/>
  <c r="BS73" i="174"/>
  <c r="BP73" i="174"/>
  <c r="AV73" i="174" s="1"/>
  <c r="AS73" i="174"/>
  <c r="EB72" i="174"/>
  <c r="EA72" i="174"/>
  <c r="DZ72" i="174"/>
  <c r="DY72" i="174"/>
  <c r="DX72" i="174"/>
  <c r="DW72" i="174"/>
  <c r="DV72" i="174"/>
  <c r="DT72" i="174"/>
  <c r="DS72" i="174"/>
  <c r="DQ72" i="174"/>
  <c r="DP72" i="174"/>
  <c r="DN72" i="174"/>
  <c r="CN72" i="174"/>
  <c r="CJ72" i="174"/>
  <c r="CI72" i="174"/>
  <c r="CH72" i="174"/>
  <c r="CG72" i="174"/>
  <c r="CF72" i="174"/>
  <c r="CE72" i="174"/>
  <c r="CD72" i="174"/>
  <c r="CC72" i="174"/>
  <c r="CB72" i="174"/>
  <c r="CA72" i="174"/>
  <c r="BY72" i="174"/>
  <c r="BX72" i="174"/>
  <c r="BV72" i="174"/>
  <c r="BT72" i="174"/>
  <c r="BS72" i="174"/>
  <c r="AV72" i="174"/>
  <c r="AS72" i="174"/>
  <c r="Y72" i="174"/>
  <c r="EB71" i="174"/>
  <c r="EA71" i="174"/>
  <c r="DZ71" i="174"/>
  <c r="DX71" i="174"/>
  <c r="DW71" i="174"/>
  <c r="DV71" i="174"/>
  <c r="DT71" i="174"/>
  <c r="DS71" i="174"/>
  <c r="DQ71" i="174"/>
  <c r="DN71" i="174"/>
  <c r="CT71" i="174"/>
  <c r="DP71" i="174" s="1"/>
  <c r="CI71" i="174"/>
  <c r="CH71" i="174"/>
  <c r="CG71" i="174"/>
  <c r="CF71" i="174"/>
  <c r="CE71" i="174"/>
  <c r="CD71" i="174"/>
  <c r="CC71" i="174"/>
  <c r="CB71" i="174"/>
  <c r="CA71" i="174"/>
  <c r="BY71" i="174"/>
  <c r="BV71" i="174"/>
  <c r="BT71" i="174"/>
  <c r="BS71" i="174"/>
  <c r="BP71" i="174"/>
  <c r="BB71" i="174"/>
  <c r="AS71" i="174"/>
  <c r="AN71" i="174"/>
  <c r="ED70" i="174"/>
  <c r="EB70" i="174"/>
  <c r="EA70" i="174"/>
  <c r="DZ70" i="174"/>
  <c r="DX70" i="174"/>
  <c r="DW70" i="174"/>
  <c r="DV70" i="174"/>
  <c r="DT70" i="174"/>
  <c r="DS70" i="174"/>
  <c r="DQ70" i="174"/>
  <c r="DN70" i="174"/>
  <c r="DC70" i="174"/>
  <c r="CN70" i="174" s="1"/>
  <c r="CL70" i="174"/>
  <c r="CI70" i="174"/>
  <c r="CH70" i="174"/>
  <c r="CF70" i="174"/>
  <c r="CE70" i="174"/>
  <c r="CD70" i="174"/>
  <c r="CB70" i="174"/>
  <c r="BY70" i="174"/>
  <c r="BV70" i="174"/>
  <c r="BT70" i="174"/>
  <c r="BS70" i="174"/>
  <c r="BK70" i="174"/>
  <c r="BB70" i="174"/>
  <c r="AE70" i="174"/>
  <c r="ED69" i="174"/>
  <c r="EB69" i="174"/>
  <c r="EA69" i="174"/>
  <c r="DZ69" i="174"/>
  <c r="DY69" i="174"/>
  <c r="DX69" i="174"/>
  <c r="DW69" i="174"/>
  <c r="DV69" i="174"/>
  <c r="DT69" i="174"/>
  <c r="DS69" i="174"/>
  <c r="DQ69" i="174"/>
  <c r="DN69" i="174"/>
  <c r="CN69" i="174"/>
  <c r="CL69" i="174"/>
  <c r="CI69" i="174"/>
  <c r="CH69" i="174"/>
  <c r="CG69" i="174"/>
  <c r="CF69" i="174"/>
  <c r="CE69" i="174"/>
  <c r="CD69" i="174"/>
  <c r="CB69" i="174"/>
  <c r="BY69" i="174"/>
  <c r="BV69" i="174"/>
  <c r="BT69" i="174"/>
  <c r="BS69" i="174"/>
  <c r="BB69" i="174"/>
  <c r="AE69" i="174"/>
  <c r="Y69" i="174"/>
  <c r="EB68" i="174"/>
  <c r="EA68" i="174"/>
  <c r="DZ68" i="174"/>
  <c r="DY68" i="174"/>
  <c r="DX68" i="174"/>
  <c r="DW68" i="174"/>
  <c r="DV68" i="174"/>
  <c r="DT68" i="174"/>
  <c r="DS68" i="174"/>
  <c r="DQ68" i="174"/>
  <c r="DP68" i="174"/>
  <c r="DN68" i="174"/>
  <c r="ED68" i="174"/>
  <c r="CN68" i="174"/>
  <c r="H68" i="174" s="1"/>
  <c r="CI68" i="174"/>
  <c r="CH68" i="174"/>
  <c r="CG68" i="174"/>
  <c r="CF68" i="174"/>
  <c r="CE68" i="174"/>
  <c r="CD68" i="174"/>
  <c r="CC68" i="174"/>
  <c r="CB68" i="174"/>
  <c r="CA68" i="174"/>
  <c r="BY68" i="174"/>
  <c r="BX68" i="174"/>
  <c r="BV68" i="174"/>
  <c r="BT68" i="174"/>
  <c r="BS68" i="174"/>
  <c r="BP68" i="174"/>
  <c r="AV68" i="174" s="1"/>
  <c r="AS68" i="174"/>
  <c r="Y68" i="174"/>
  <c r="EC67" i="174"/>
  <c r="DU67" i="174"/>
  <c r="DO67" i="174"/>
  <c r="DK67" i="174"/>
  <c r="DG67" i="174"/>
  <c r="DE67" i="174"/>
  <c r="CZ67" i="174"/>
  <c r="CY67" i="174"/>
  <c r="CX67" i="174"/>
  <c r="CS67" i="174"/>
  <c r="CO67" i="174"/>
  <c r="BW67" i="174"/>
  <c r="BO67" i="174"/>
  <c r="BM67" i="174"/>
  <c r="BH67" i="174"/>
  <c r="BG67" i="174"/>
  <c r="BF67" i="174"/>
  <c r="BA67" i="174"/>
  <c r="AY67" i="174"/>
  <c r="AY197" i="174" s="1"/>
  <c r="AW67" i="174"/>
  <c r="AR67" i="174"/>
  <c r="AQ67" i="174"/>
  <c r="AP67" i="174"/>
  <c r="AK67" i="174"/>
  <c r="AJ67" i="174"/>
  <c r="AI67" i="174"/>
  <c r="AH67" i="174"/>
  <c r="AG67" i="174"/>
  <c r="AD67" i="174"/>
  <c r="AB67" i="174"/>
  <c r="Z67" i="174"/>
  <c r="G67" i="174"/>
  <c r="EB66" i="174"/>
  <c r="EA66" i="174"/>
  <c r="DZ66" i="174"/>
  <c r="DY66" i="174"/>
  <c r="DX66" i="174"/>
  <c r="DW66" i="174"/>
  <c r="DV66" i="174"/>
  <c r="DT66" i="174"/>
  <c r="DS66" i="174"/>
  <c r="DQ66" i="174"/>
  <c r="DP66" i="174"/>
  <c r="DN66" i="174"/>
  <c r="DL66" i="174"/>
  <c r="CN66" i="174"/>
  <c r="H66" i="174" s="1"/>
  <c r="I66" i="174" s="1"/>
  <c r="CL66" i="174"/>
  <c r="CK66" i="174"/>
  <c r="CJ66" i="174"/>
  <c r="CI66" i="174"/>
  <c r="CH66" i="174"/>
  <c r="CG66" i="174"/>
  <c r="CF66" i="174"/>
  <c r="CE66" i="174"/>
  <c r="CD66" i="174"/>
  <c r="CC66" i="174"/>
  <c r="CB66" i="174"/>
  <c r="CA66" i="174"/>
  <c r="BY66" i="174"/>
  <c r="BX66" i="174"/>
  <c r="BV66" i="174"/>
  <c r="BU66" i="174"/>
  <c r="BS66" i="174"/>
  <c r="AV66" i="174"/>
  <c r="AU66" i="174" s="1"/>
  <c r="BQ66" i="174" s="1"/>
  <c r="AS66" i="174"/>
  <c r="ED66" i="174" s="1"/>
  <c r="Y66" i="174"/>
  <c r="ED65" i="174"/>
  <c r="EB65" i="174"/>
  <c r="EA65" i="174"/>
  <c r="DZ65" i="174"/>
  <c r="DX65" i="174"/>
  <c r="DW65" i="174"/>
  <c r="DV65" i="174"/>
  <c r="DT65" i="174"/>
  <c r="DS65" i="174"/>
  <c r="DQ65" i="174"/>
  <c r="DP65" i="174"/>
  <c r="DN65" i="174"/>
  <c r="DC65" i="174"/>
  <c r="CL65" i="174"/>
  <c r="CI65" i="174"/>
  <c r="CH65" i="174"/>
  <c r="CE65" i="174"/>
  <c r="CD65" i="174"/>
  <c r="CB65" i="174"/>
  <c r="BY65" i="174"/>
  <c r="BX65" i="174"/>
  <c r="BV65" i="174"/>
  <c r="BU65" i="174"/>
  <c r="BS65" i="174"/>
  <c r="BK65" i="174"/>
  <c r="CG65" i="174" s="1"/>
  <c r="AV65" i="174"/>
  <c r="AU65" i="174" s="1"/>
  <c r="BQ65" i="174" s="1"/>
  <c r="AO65" i="174"/>
  <c r="Y65" i="174" s="1"/>
  <c r="EB64" i="174"/>
  <c r="EA64" i="174"/>
  <c r="DZ64" i="174"/>
  <c r="DX64" i="174"/>
  <c r="DW64" i="174"/>
  <c r="DV64" i="174"/>
  <c r="DT64" i="174"/>
  <c r="DS64" i="174"/>
  <c r="DQ64" i="174"/>
  <c r="DP64" i="174"/>
  <c r="DN64" i="174"/>
  <c r="DY64" i="174"/>
  <c r="CI64" i="174"/>
  <c r="CF64" i="174"/>
  <c r="CE64" i="174"/>
  <c r="CD64" i="174"/>
  <c r="CB64" i="174"/>
  <c r="BY64" i="174"/>
  <c r="BX64" i="174"/>
  <c r="BV64" i="174"/>
  <c r="BU64" i="174"/>
  <c r="BS64" i="174"/>
  <c r="BP64" i="174"/>
  <c r="BL64" i="174"/>
  <c r="CH64" i="174" s="1"/>
  <c r="BK64" i="174"/>
  <c r="CG64" i="174" s="1"/>
  <c r="AS64" i="174"/>
  <c r="AO64" i="174"/>
  <c r="ED63" i="174"/>
  <c r="EB63" i="174"/>
  <c r="EA63" i="174"/>
  <c r="DY63" i="174"/>
  <c r="DX63" i="174"/>
  <c r="DW63" i="174"/>
  <c r="DV63" i="174"/>
  <c r="DT63" i="174"/>
  <c r="DS63" i="174"/>
  <c r="DQ63" i="174"/>
  <c r="DP63" i="174"/>
  <c r="DN63" i="174"/>
  <c r="DD63" i="174"/>
  <c r="DZ63" i="174" s="1"/>
  <c r="CL63" i="174"/>
  <c r="CI63" i="174"/>
  <c r="CG63" i="174"/>
  <c r="CF63" i="174"/>
  <c r="CE63" i="174"/>
  <c r="CD63" i="174"/>
  <c r="CB63" i="174"/>
  <c r="BY63" i="174"/>
  <c r="BX63" i="174"/>
  <c r="BV63" i="174"/>
  <c r="BU63" i="174"/>
  <c r="BS63" i="174"/>
  <c r="BL63" i="174"/>
  <c r="CH63" i="174" s="1"/>
  <c r="Y63" i="174"/>
  <c r="ED62" i="174"/>
  <c r="EB62" i="174"/>
  <c r="EA62" i="174"/>
  <c r="DZ62" i="174"/>
  <c r="DX62" i="174"/>
  <c r="DW62" i="174"/>
  <c r="DV62" i="174"/>
  <c r="DT62" i="174"/>
  <c r="DS62" i="174"/>
  <c r="DQ62" i="174"/>
  <c r="DP62" i="174"/>
  <c r="DN62" i="174"/>
  <c r="DC62" i="174"/>
  <c r="DY62" i="174" s="1"/>
  <c r="CL62" i="174"/>
  <c r="CI62" i="174"/>
  <c r="CH62" i="174"/>
  <c r="CF62" i="174"/>
  <c r="CE62" i="174"/>
  <c r="CD62" i="174"/>
  <c r="CB62" i="174"/>
  <c r="BY62" i="174"/>
  <c r="BX62" i="174"/>
  <c r="BV62" i="174"/>
  <c r="BU62" i="174"/>
  <c r="BS62" i="174"/>
  <c r="BK62" i="174"/>
  <c r="CG62" i="174" s="1"/>
  <c r="AO62" i="174"/>
  <c r="Y62" i="174" s="1"/>
  <c r="EB61" i="174"/>
  <c r="EA61" i="174"/>
  <c r="DZ61" i="174"/>
  <c r="DY61" i="174"/>
  <c r="DX61" i="174"/>
  <c r="DW61" i="174"/>
  <c r="DV61" i="174"/>
  <c r="DT61" i="174"/>
  <c r="DS61" i="174"/>
  <c r="DQ61" i="174"/>
  <c r="DP61" i="174"/>
  <c r="DN61" i="174"/>
  <c r="CN61" i="174"/>
  <c r="CI61" i="174"/>
  <c r="CH61" i="174"/>
  <c r="CG61" i="174"/>
  <c r="CF61" i="174"/>
  <c r="CE61" i="174"/>
  <c r="CD61" i="174"/>
  <c r="CB61" i="174"/>
  <c r="BY61" i="174"/>
  <c r="BX61" i="174"/>
  <c r="BV61" i="174"/>
  <c r="BU61" i="174"/>
  <c r="BS61" i="174"/>
  <c r="BP61" i="174"/>
  <c r="AV61" i="174" s="1"/>
  <c r="AS61" i="174"/>
  <c r="H61" i="174"/>
  <c r="ED60" i="174"/>
  <c r="EB60" i="174"/>
  <c r="EA60" i="174"/>
  <c r="DZ60" i="174"/>
  <c r="DY60" i="174"/>
  <c r="DX60" i="174"/>
  <c r="DW60" i="174"/>
  <c r="DV60" i="174"/>
  <c r="DT60" i="174"/>
  <c r="DS60" i="174"/>
  <c r="DQ60" i="174"/>
  <c r="DM60" i="174"/>
  <c r="CT60" i="174"/>
  <c r="CR60" i="174"/>
  <c r="CL60" i="174"/>
  <c r="CI60" i="174"/>
  <c r="CH60" i="174"/>
  <c r="CG60" i="174"/>
  <c r="CF60" i="174"/>
  <c r="CE60" i="174"/>
  <c r="CD60" i="174"/>
  <c r="CB60" i="174"/>
  <c r="BY60" i="174"/>
  <c r="BU60" i="174"/>
  <c r="BS60" i="174"/>
  <c r="AZ60" i="174"/>
  <c r="AV60" i="174" s="1"/>
  <c r="AE60" i="174"/>
  <c r="AC60" i="174"/>
  <c r="AA60" i="174"/>
  <c r="CN59" i="174"/>
  <c r="BU59" i="174"/>
  <c r="BP59" i="174"/>
  <c r="AV59" i="174" s="1"/>
  <c r="AS59" i="174"/>
  <c r="EB58" i="174"/>
  <c r="EA58" i="174"/>
  <c r="DZ58" i="174"/>
  <c r="DY58" i="174"/>
  <c r="DX58" i="174"/>
  <c r="DW58" i="174"/>
  <c r="DV58" i="174"/>
  <c r="DT58" i="174"/>
  <c r="DS58" i="174"/>
  <c r="DQ58" i="174"/>
  <c r="DP58" i="174"/>
  <c r="CN58" i="174"/>
  <c r="CI58" i="174"/>
  <c r="CH58" i="174"/>
  <c r="CG58" i="174"/>
  <c r="CF58" i="174"/>
  <c r="CE58" i="174"/>
  <c r="CD58" i="174"/>
  <c r="CB58" i="174"/>
  <c r="BY58" i="174"/>
  <c r="BX58" i="174"/>
  <c r="BU58" i="174"/>
  <c r="BS58" i="174"/>
  <c r="AZ58" i="174"/>
  <c r="AV58" i="174" s="1"/>
  <c r="AU58" i="174" s="1"/>
  <c r="BQ58" i="174" s="1"/>
  <c r="AS58" i="174"/>
  <c r="ED58" i="174" s="1"/>
  <c r="AE58" i="174"/>
  <c r="AC58" i="174"/>
  <c r="Y58" i="174" s="1"/>
  <c r="H58" i="174"/>
  <c r="ED57" i="174"/>
  <c r="EB57" i="174"/>
  <c r="EA57" i="174"/>
  <c r="DZ57" i="174"/>
  <c r="DY57" i="174"/>
  <c r="DX57" i="174"/>
  <c r="DW57" i="174"/>
  <c r="DV57" i="174"/>
  <c r="DT57" i="174"/>
  <c r="DS57" i="174"/>
  <c r="DQ57" i="174"/>
  <c r="DN57" i="174"/>
  <c r="DJ57" i="174" s="1"/>
  <c r="CT57" i="174"/>
  <c r="DP57" i="174" s="1"/>
  <c r="CL57" i="174"/>
  <c r="CI57" i="174"/>
  <c r="CH57" i="174"/>
  <c r="CG57" i="174"/>
  <c r="CF57" i="174"/>
  <c r="CE57" i="174"/>
  <c r="CD57" i="174"/>
  <c r="CB57" i="174"/>
  <c r="BY57" i="174"/>
  <c r="BV57" i="174"/>
  <c r="BU57" i="174"/>
  <c r="BS57" i="174"/>
  <c r="BX57" i="174"/>
  <c r="AV57" i="174"/>
  <c r="AU57" i="174" s="1"/>
  <c r="BQ57" i="174" s="1"/>
  <c r="Y57" i="174"/>
  <c r="ED56" i="174"/>
  <c r="EB56" i="174"/>
  <c r="EA56" i="174"/>
  <c r="DZ56" i="174"/>
  <c r="DY56" i="174"/>
  <c r="DX56" i="174"/>
  <c r="DW56" i="174"/>
  <c r="DV56" i="174"/>
  <c r="DT56" i="174"/>
  <c r="DS56" i="174"/>
  <c r="DQ56" i="174"/>
  <c r="DN56" i="174"/>
  <c r="CT56" i="174"/>
  <c r="DP56" i="174" s="1"/>
  <c r="DJ56" i="174" s="1"/>
  <c r="CN56" i="174"/>
  <c r="H56" i="174" s="1"/>
  <c r="CL56" i="174"/>
  <c r="CK56" i="174"/>
  <c r="CJ56" i="174"/>
  <c r="CI56" i="174"/>
  <c r="CH56" i="174"/>
  <c r="CG56" i="174"/>
  <c r="CF56" i="174"/>
  <c r="CE56" i="174"/>
  <c r="CD56" i="174"/>
  <c r="CC56" i="174"/>
  <c r="CB56" i="174"/>
  <c r="CA56" i="174"/>
  <c r="BY56" i="174"/>
  <c r="BX56" i="174"/>
  <c r="BV56" i="174"/>
  <c r="BU56" i="174"/>
  <c r="BT56" i="174"/>
  <c r="BS56" i="174"/>
  <c r="BB56" i="174"/>
  <c r="AV56" i="174"/>
  <c r="Y56" i="174"/>
  <c r="ED55" i="174"/>
  <c r="EB55" i="174"/>
  <c r="EA55" i="174"/>
  <c r="DZ55" i="174"/>
  <c r="DY55" i="174"/>
  <c r="DX55" i="174"/>
  <c r="DW55" i="174"/>
  <c r="DJ55" i="174" s="1"/>
  <c r="DV55" i="174"/>
  <c r="DT55" i="174"/>
  <c r="DS55" i="174"/>
  <c r="DQ55" i="174"/>
  <c r="DP55" i="174"/>
  <c r="DN55" i="174"/>
  <c r="CN55" i="174"/>
  <c r="H55" i="174" s="1"/>
  <c r="I55" i="174" s="1"/>
  <c r="CL55" i="174"/>
  <c r="CI55" i="174"/>
  <c r="CH55" i="174"/>
  <c r="CF55" i="174"/>
  <c r="CE55" i="174"/>
  <c r="CD55" i="174"/>
  <c r="CB55" i="174"/>
  <c r="BY55" i="174"/>
  <c r="BX55" i="174"/>
  <c r="BV55" i="174"/>
  <c r="BU55" i="174"/>
  <c r="BT55" i="174"/>
  <c r="BS55" i="174"/>
  <c r="AL55" i="174"/>
  <c r="AL202" i="174" s="1"/>
  <c r="Y55" i="174"/>
  <c r="ED54" i="174"/>
  <c r="EB54" i="174"/>
  <c r="EA54" i="174"/>
  <c r="DY54" i="174"/>
  <c r="DX54" i="174"/>
  <c r="DW54" i="174"/>
  <c r="DV54" i="174"/>
  <c r="DT54" i="174"/>
  <c r="DS54" i="174"/>
  <c r="DQ54" i="174"/>
  <c r="DN54" i="174"/>
  <c r="DM54" i="174"/>
  <c r="CT54" i="174"/>
  <c r="DP54" i="174" s="1"/>
  <c r="DL54" i="174"/>
  <c r="CL54" i="174"/>
  <c r="CK54" i="174"/>
  <c r="CJ54" i="174"/>
  <c r="CI54" i="174"/>
  <c r="CG54" i="174"/>
  <c r="CF54" i="174"/>
  <c r="CE54" i="174"/>
  <c r="CD54" i="174"/>
  <c r="CC54" i="174"/>
  <c r="CB54" i="174"/>
  <c r="CA54" i="174"/>
  <c r="BY54" i="174"/>
  <c r="BV54" i="174"/>
  <c r="BU54" i="174"/>
  <c r="BS54" i="174"/>
  <c r="BL54" i="174"/>
  <c r="CH54" i="174" s="1"/>
  <c r="BX54" i="174"/>
  <c r="AA54" i="174"/>
  <c r="Y54" i="174" s="1"/>
  <c r="EB53" i="174"/>
  <c r="EA53" i="174"/>
  <c r="DZ53" i="174"/>
  <c r="DY53" i="174"/>
  <c r="DX53" i="174"/>
  <c r="DW53" i="174"/>
  <c r="DV53" i="174"/>
  <c r="DT53" i="174"/>
  <c r="DS53" i="174"/>
  <c r="DQ53" i="174"/>
  <c r="DP53" i="174"/>
  <c r="DN53" i="174"/>
  <c r="CN53" i="174"/>
  <c r="H53" i="174" s="1"/>
  <c r="CK53" i="174"/>
  <c r="CJ53" i="174"/>
  <c r="CI53" i="174"/>
  <c r="CH53" i="174"/>
  <c r="CG53" i="174"/>
  <c r="CF53" i="174"/>
  <c r="CE53" i="174"/>
  <c r="CD53" i="174"/>
  <c r="CC53" i="174"/>
  <c r="CB53" i="174"/>
  <c r="CA53" i="174"/>
  <c r="BY53" i="174"/>
  <c r="BX53" i="174"/>
  <c r="BV53" i="174"/>
  <c r="BU53" i="174"/>
  <c r="BT53" i="174"/>
  <c r="BS53" i="174"/>
  <c r="BP53" i="174"/>
  <c r="AV53" i="174" s="1"/>
  <c r="AS53" i="174"/>
  <c r="ED52" i="174"/>
  <c r="EB52" i="174"/>
  <c r="EA52" i="174"/>
  <c r="DZ52" i="174"/>
  <c r="DY52" i="174"/>
  <c r="DX52" i="174"/>
  <c r="DV52" i="174"/>
  <c r="DT52" i="174"/>
  <c r="DS52" i="174"/>
  <c r="DQ52" i="174"/>
  <c r="DP52" i="174"/>
  <c r="DN52" i="174"/>
  <c r="DA67" i="174"/>
  <c r="CL52" i="174"/>
  <c r="CI52" i="174"/>
  <c r="CH52" i="174"/>
  <c r="CG52" i="174"/>
  <c r="CF52" i="174"/>
  <c r="CE52" i="174"/>
  <c r="CD52" i="174"/>
  <c r="CC52" i="174"/>
  <c r="CB52" i="174"/>
  <c r="CA52" i="174"/>
  <c r="BY52" i="174"/>
  <c r="BX52" i="174"/>
  <c r="BV52" i="174"/>
  <c r="BU52" i="174"/>
  <c r="BT52" i="174"/>
  <c r="BS52" i="174"/>
  <c r="AV52" i="174"/>
  <c r="Y52" i="174"/>
  <c r="EB51" i="174"/>
  <c r="EA51" i="174"/>
  <c r="DZ51" i="174"/>
  <c r="DY51" i="174"/>
  <c r="DX51" i="174"/>
  <c r="DW51" i="174"/>
  <c r="DV51" i="174"/>
  <c r="DT51" i="174"/>
  <c r="DS51" i="174"/>
  <c r="DQ51" i="174"/>
  <c r="DP51" i="174"/>
  <c r="DN51" i="174"/>
  <c r="CN51" i="174"/>
  <c r="CI51" i="174"/>
  <c r="CH51" i="174"/>
  <c r="CG51" i="174"/>
  <c r="CF51" i="174"/>
  <c r="CE51" i="174"/>
  <c r="CD51" i="174"/>
  <c r="CB51" i="174"/>
  <c r="BY51" i="174"/>
  <c r="BX51" i="174"/>
  <c r="BV51" i="174"/>
  <c r="BU51" i="174"/>
  <c r="BT51" i="174"/>
  <c r="BS51" i="174"/>
  <c r="BP51" i="174"/>
  <c r="AV51" i="174"/>
  <c r="AS51" i="174"/>
  <c r="CL51" i="174" s="1"/>
  <c r="Y51" i="174"/>
  <c r="I51" i="174" s="1"/>
  <c r="H51" i="174"/>
  <c r="EB50" i="174"/>
  <c r="EA50" i="174"/>
  <c r="DZ50" i="174"/>
  <c r="DX50" i="174"/>
  <c r="DW50" i="174"/>
  <c r="DV50" i="174"/>
  <c r="DT50" i="174"/>
  <c r="DS50" i="174"/>
  <c r="DQ50" i="174"/>
  <c r="DP50" i="174"/>
  <c r="DN50" i="174"/>
  <c r="DC50" i="174"/>
  <c r="DH50" i="174" s="1"/>
  <c r="ED50" i="174" s="1"/>
  <c r="CI50" i="174"/>
  <c r="CH50" i="174"/>
  <c r="CG50" i="174"/>
  <c r="CF50" i="174"/>
  <c r="CE50" i="174"/>
  <c r="CD50" i="174"/>
  <c r="CB50" i="174"/>
  <c r="BY50" i="174"/>
  <c r="BX50" i="174"/>
  <c r="BV50" i="174"/>
  <c r="BU50" i="174"/>
  <c r="BT50" i="174"/>
  <c r="BS50" i="174"/>
  <c r="AV50" i="174"/>
  <c r="AS50" i="174"/>
  <c r="CL50" i="174" s="1"/>
  <c r="AN50" i="174"/>
  <c r="Y50" i="174"/>
  <c r="ED49" i="174"/>
  <c r="EB49" i="174"/>
  <c r="EA49" i="174"/>
  <c r="DZ49" i="174"/>
  <c r="DY49" i="174"/>
  <c r="DX49" i="174"/>
  <c r="DW49" i="174"/>
  <c r="DV49" i="174"/>
  <c r="DT49" i="174"/>
  <c r="DS49" i="174"/>
  <c r="DQ49" i="174"/>
  <c r="DP49" i="174"/>
  <c r="DN49" i="174"/>
  <c r="DM49" i="174"/>
  <c r="CP49" i="174"/>
  <c r="CN49" i="174" s="1"/>
  <c r="CL49" i="174"/>
  <c r="CI49" i="174"/>
  <c r="CG49" i="174"/>
  <c r="CF49" i="174"/>
  <c r="CE49" i="174"/>
  <c r="CD49" i="174"/>
  <c r="CB49" i="174"/>
  <c r="BY49" i="174"/>
  <c r="BX49" i="174"/>
  <c r="BV49" i="174"/>
  <c r="BU49" i="174"/>
  <c r="BS49" i="174"/>
  <c r="BL49" i="174"/>
  <c r="CH49" i="174" s="1"/>
  <c r="AA49" i="174"/>
  <c r="Y49" i="174"/>
  <c r="H49" i="174"/>
  <c r="ED48" i="174"/>
  <c r="EB48" i="174"/>
  <c r="EA48" i="174"/>
  <c r="DW48" i="174"/>
  <c r="DV48" i="174"/>
  <c r="DT48" i="174"/>
  <c r="DN48" i="174"/>
  <c r="DM48" i="174"/>
  <c r="DY48" i="174"/>
  <c r="CW48" i="174"/>
  <c r="CW67" i="174" s="1"/>
  <c r="CV48" i="174"/>
  <c r="DR48" i="174" s="1"/>
  <c r="CU48" i="174"/>
  <c r="CP48" i="174"/>
  <c r="CL48" i="174"/>
  <c r="CI48" i="174"/>
  <c r="CE48" i="174"/>
  <c r="CD48" i="174"/>
  <c r="CC48" i="174"/>
  <c r="CB48" i="174"/>
  <c r="BV48" i="174"/>
  <c r="BU48" i="174"/>
  <c r="BS48" i="174"/>
  <c r="BL48" i="174"/>
  <c r="BK48" i="174"/>
  <c r="CG48" i="174" s="1"/>
  <c r="BJ48" i="174"/>
  <c r="BE48" i="174"/>
  <c r="BE202" i="174" s="1"/>
  <c r="BD48" i="174"/>
  <c r="BC48" i="174"/>
  <c r="BY48" i="174" s="1"/>
  <c r="BB48" i="174"/>
  <c r="AX48" i="174"/>
  <c r="AO48" i="174"/>
  <c r="DZ48" i="174" s="1"/>
  <c r="AN48" i="174"/>
  <c r="AM48" i="174"/>
  <c r="AF48" i="174"/>
  <c r="AE48" i="174"/>
  <c r="AA48" i="174"/>
  <c r="Y48" i="174" s="1"/>
  <c r="ED47" i="174"/>
  <c r="EB47" i="174"/>
  <c r="EA47" i="174"/>
  <c r="DZ47" i="174"/>
  <c r="DY47" i="174"/>
  <c r="DW47" i="174"/>
  <c r="DV47" i="174"/>
  <c r="DT47" i="174"/>
  <c r="DS47" i="174"/>
  <c r="DQ47" i="174"/>
  <c r="DP47" i="174"/>
  <c r="DN47" i="174"/>
  <c r="DM47" i="174"/>
  <c r="DL47" i="174"/>
  <c r="CL47" i="174"/>
  <c r="CI47" i="174"/>
  <c r="CH47" i="174"/>
  <c r="CG47" i="174"/>
  <c r="CE47" i="174"/>
  <c r="CD47" i="174"/>
  <c r="CC47" i="174"/>
  <c r="CB47" i="174"/>
  <c r="CA47" i="174"/>
  <c r="BY47" i="174"/>
  <c r="BX47" i="174"/>
  <c r="BV47" i="174"/>
  <c r="BU47" i="174"/>
  <c r="BS47" i="174"/>
  <c r="BJ47" i="174"/>
  <c r="AV47" i="174" s="1"/>
  <c r="AM47" i="174"/>
  <c r="AA47" i="174"/>
  <c r="BT47" i="174" s="1"/>
  <c r="ED46" i="174"/>
  <c r="EB46" i="174"/>
  <c r="EA46" i="174"/>
  <c r="DZ46" i="174"/>
  <c r="DY46" i="174"/>
  <c r="DX46" i="174"/>
  <c r="DW46" i="174"/>
  <c r="DV46" i="174"/>
  <c r="DT46" i="174"/>
  <c r="DS46" i="174"/>
  <c r="DQ46" i="174"/>
  <c r="DP46" i="174"/>
  <c r="DN46" i="174"/>
  <c r="CN46" i="174"/>
  <c r="CI46" i="174"/>
  <c r="CH46" i="174"/>
  <c r="CG46" i="174"/>
  <c r="CF46" i="174"/>
  <c r="CE46" i="174"/>
  <c r="CD46" i="174"/>
  <c r="CC46" i="174"/>
  <c r="CB46" i="174"/>
  <c r="CA46" i="174"/>
  <c r="BY46" i="174"/>
  <c r="BX46" i="174"/>
  <c r="BV46" i="174"/>
  <c r="BU46" i="174"/>
  <c r="BS46" i="174"/>
  <c r="BP46" i="174"/>
  <c r="AS46" i="174"/>
  <c r="Y46" i="174" s="1"/>
  <c r="ED45" i="174"/>
  <c r="EB45" i="174"/>
  <c r="EA45" i="174"/>
  <c r="DZ45" i="174"/>
  <c r="DY45" i="174"/>
  <c r="DX45" i="174"/>
  <c r="DW45" i="174"/>
  <c r="DV45" i="174"/>
  <c r="DT45" i="174"/>
  <c r="DS45" i="174"/>
  <c r="DP45" i="174"/>
  <c r="DN45" i="174"/>
  <c r="DM45" i="174"/>
  <c r="CU45" i="174"/>
  <c r="CP45" i="174"/>
  <c r="CL45" i="174"/>
  <c r="CI45" i="174"/>
  <c r="CG45" i="174"/>
  <c r="CF45" i="174"/>
  <c r="CE45" i="174"/>
  <c r="CD45" i="174"/>
  <c r="CC45" i="174"/>
  <c r="CB45" i="174"/>
  <c r="CA45" i="174"/>
  <c r="BX45" i="174"/>
  <c r="BV45" i="174"/>
  <c r="BU45" i="174"/>
  <c r="BS45" i="174"/>
  <c r="BL45" i="174"/>
  <c r="CH45" i="174" s="1"/>
  <c r="BC45" i="174"/>
  <c r="AX45" i="174"/>
  <c r="BT45" i="174" s="1"/>
  <c r="AF45" i="174"/>
  <c r="AA45" i="174"/>
  <c r="ED44" i="174"/>
  <c r="EB44" i="174"/>
  <c r="EA44" i="174"/>
  <c r="DZ44" i="174"/>
  <c r="DY44" i="174"/>
  <c r="DX44" i="174"/>
  <c r="DW44" i="174"/>
  <c r="DV44" i="174"/>
  <c r="DT44" i="174"/>
  <c r="DS44" i="174"/>
  <c r="DP44" i="174"/>
  <c r="DN44" i="174"/>
  <c r="DM44" i="174"/>
  <c r="DQ44" i="174"/>
  <c r="CP44" i="174"/>
  <c r="CL44" i="174"/>
  <c r="CI44" i="174"/>
  <c r="CG44" i="174"/>
  <c r="CF44" i="174"/>
  <c r="CE44" i="174"/>
  <c r="CD44" i="174"/>
  <c r="CC44" i="174"/>
  <c r="CB44" i="174"/>
  <c r="CA44" i="174"/>
  <c r="BX44" i="174"/>
  <c r="BV44" i="174"/>
  <c r="BU44" i="174"/>
  <c r="BS44" i="174"/>
  <c r="BL44" i="174"/>
  <c r="CH44" i="174" s="1"/>
  <c r="BC44" i="174"/>
  <c r="AX44" i="174"/>
  <c r="BT44" i="174" s="1"/>
  <c r="AF44" i="174"/>
  <c r="AA44" i="174"/>
  <c r="Y44" i="174"/>
  <c r="ED43" i="174"/>
  <c r="EB43" i="174"/>
  <c r="EA43" i="174"/>
  <c r="DZ43" i="174"/>
  <c r="DY43" i="174"/>
  <c r="DX43" i="174"/>
  <c r="DW43" i="174"/>
  <c r="DV43" i="174"/>
  <c r="DT43" i="174"/>
  <c r="DS43" i="174"/>
  <c r="DQ43" i="174"/>
  <c r="CN43" i="174"/>
  <c r="H43" i="174" s="1"/>
  <c r="CL43" i="174"/>
  <c r="CI43" i="174"/>
  <c r="CH43" i="174"/>
  <c r="CG43" i="174"/>
  <c r="CF43" i="174"/>
  <c r="CE43" i="174"/>
  <c r="CD43" i="174"/>
  <c r="BY43" i="174"/>
  <c r="BV43" i="174"/>
  <c r="BU43" i="174"/>
  <c r="BS43" i="174"/>
  <c r="BX43" i="174"/>
  <c r="AE43" i="174"/>
  <c r="ED42" i="174"/>
  <c r="EB42" i="174"/>
  <c r="EA42" i="174"/>
  <c r="DZ42" i="174"/>
  <c r="DY42" i="174"/>
  <c r="DX42" i="174"/>
  <c r="DW42" i="174"/>
  <c r="DV42" i="174"/>
  <c r="DT42" i="174"/>
  <c r="DS42" i="174"/>
  <c r="DQ42" i="174"/>
  <c r="CN42" i="174"/>
  <c r="CL42" i="174"/>
  <c r="CI42" i="174"/>
  <c r="CH42" i="174"/>
  <c r="CG42" i="174"/>
  <c r="CF42" i="174"/>
  <c r="CE42" i="174"/>
  <c r="CD42" i="174"/>
  <c r="CC42" i="174"/>
  <c r="CB42" i="174"/>
  <c r="CA42" i="174"/>
  <c r="BY42" i="174"/>
  <c r="BV42" i="174"/>
  <c r="BU42" i="174"/>
  <c r="BS42" i="174"/>
  <c r="AV42" i="174"/>
  <c r="AU42" i="174" s="1"/>
  <c r="BQ42" i="174" s="1"/>
  <c r="AE42" i="174"/>
  <c r="Y42" i="174" s="1"/>
  <c r="ED41" i="174"/>
  <c r="EB41" i="174"/>
  <c r="EA41" i="174"/>
  <c r="DZ41" i="174"/>
  <c r="DY41" i="174"/>
  <c r="DX41" i="174"/>
  <c r="DW41" i="174"/>
  <c r="DV41" i="174"/>
  <c r="DT41" i="174"/>
  <c r="DS41" i="174"/>
  <c r="DQ41" i="174"/>
  <c r="CT41" i="174"/>
  <c r="CN41" i="174" s="1"/>
  <c r="H41" i="174" s="1"/>
  <c r="CM41" i="174"/>
  <c r="DI41" i="174" s="1"/>
  <c r="CL41" i="174"/>
  <c r="CI41" i="174"/>
  <c r="CH41" i="174"/>
  <c r="CG41" i="174"/>
  <c r="CF41" i="174"/>
  <c r="CE41" i="174"/>
  <c r="CD41" i="174"/>
  <c r="CC41" i="174"/>
  <c r="CB41" i="174"/>
  <c r="CA41" i="174"/>
  <c r="BY41" i="174"/>
  <c r="BV41" i="174"/>
  <c r="BU41" i="174"/>
  <c r="BS41" i="174"/>
  <c r="BB41" i="174"/>
  <c r="AV41" i="174" s="1"/>
  <c r="AU41" i="174" s="1"/>
  <c r="BQ41" i="174" s="1"/>
  <c r="AE41" i="174"/>
  <c r="Y41" i="174"/>
  <c r="ED40" i="174"/>
  <c r="EB40" i="174"/>
  <c r="EA40" i="174"/>
  <c r="DZ40" i="174"/>
  <c r="DY40" i="174"/>
  <c r="DX40" i="174"/>
  <c r="DW40" i="174"/>
  <c r="DV40" i="174"/>
  <c r="DT40" i="174"/>
  <c r="DS40" i="174"/>
  <c r="DQ40" i="174"/>
  <c r="CT40" i="174"/>
  <c r="CN40" i="174" s="1"/>
  <c r="H40" i="174" s="1"/>
  <c r="CL40" i="174"/>
  <c r="CI40" i="174"/>
  <c r="CH40" i="174"/>
  <c r="CG40" i="174"/>
  <c r="CF40" i="174"/>
  <c r="CE40" i="174"/>
  <c r="CD40" i="174"/>
  <c r="CC40" i="174"/>
  <c r="CB40" i="174"/>
  <c r="CA40" i="174"/>
  <c r="BY40" i="174"/>
  <c r="BV40" i="174"/>
  <c r="BU40" i="174"/>
  <c r="BS40" i="174"/>
  <c r="BR40" i="174" s="1"/>
  <c r="BB40" i="174"/>
  <c r="BX40" i="174" s="1"/>
  <c r="AV40" i="174"/>
  <c r="AU40" i="174" s="1"/>
  <c r="BQ40" i="174" s="1"/>
  <c r="Y40" i="174"/>
  <c r="ED39" i="174"/>
  <c r="EB39" i="174"/>
  <c r="EA39" i="174"/>
  <c r="DZ39" i="174"/>
  <c r="DX39" i="174"/>
  <c r="DW39" i="174"/>
  <c r="DV39" i="174"/>
  <c r="DT39" i="174"/>
  <c r="DS39" i="174"/>
  <c r="DQ39" i="174"/>
  <c r="CT39" i="174"/>
  <c r="CL39" i="174"/>
  <c r="CI39" i="174"/>
  <c r="CH39" i="174"/>
  <c r="CF39" i="174"/>
  <c r="CE39" i="174"/>
  <c r="CD39" i="174"/>
  <c r="CC39" i="174"/>
  <c r="CB39" i="174"/>
  <c r="CA39" i="174"/>
  <c r="BY39" i="174"/>
  <c r="BV39" i="174"/>
  <c r="BU39" i="174"/>
  <c r="BS39" i="174"/>
  <c r="BN39" i="174"/>
  <c r="BN202" i="174" s="1"/>
  <c r="BB39" i="174"/>
  <c r="BX39" i="174" s="1"/>
  <c r="AN39" i="174"/>
  <c r="Y39" i="174"/>
  <c r="ED38" i="174"/>
  <c r="EB38" i="174"/>
  <c r="EA38" i="174"/>
  <c r="DZ38" i="174"/>
  <c r="DY38" i="174"/>
  <c r="DX38" i="174"/>
  <c r="DW38" i="174"/>
  <c r="DV38" i="174"/>
  <c r="DT38" i="174"/>
  <c r="DS38" i="174"/>
  <c r="DQ38" i="174"/>
  <c r="DP38" i="174"/>
  <c r="CN38" i="174"/>
  <c r="CL38" i="174"/>
  <c r="CI38" i="174"/>
  <c r="CH38" i="174"/>
  <c r="CG38" i="174"/>
  <c r="CF38" i="174"/>
  <c r="CE38" i="174"/>
  <c r="CD38" i="174"/>
  <c r="CC38" i="174"/>
  <c r="CB38" i="174"/>
  <c r="CA38" i="174"/>
  <c r="BY38" i="174"/>
  <c r="BV38" i="174"/>
  <c r="BU38" i="174"/>
  <c r="BS38" i="174"/>
  <c r="AV38" i="174"/>
  <c r="AU38" i="174" s="1"/>
  <c r="BQ38" i="174" s="1"/>
  <c r="AE38" i="174"/>
  <c r="BX38" i="174" s="1"/>
  <c r="Y38" i="174"/>
  <c r="ED37" i="174"/>
  <c r="EB37" i="174"/>
  <c r="EA37" i="174"/>
  <c r="DZ37" i="174"/>
  <c r="DY37" i="174"/>
  <c r="DX37" i="174"/>
  <c r="DW37" i="174"/>
  <c r="DV37" i="174"/>
  <c r="DT37" i="174"/>
  <c r="DS37" i="174"/>
  <c r="DQ37" i="174"/>
  <c r="DN37" i="174"/>
  <c r="DM37" i="174"/>
  <c r="CT37" i="174"/>
  <c r="DP37" i="174" s="1"/>
  <c r="CP37" i="174"/>
  <c r="CN37" i="174" s="1"/>
  <c r="CL37" i="174"/>
  <c r="CI37" i="174"/>
  <c r="CG37" i="174"/>
  <c r="CF37" i="174"/>
  <c r="CE37" i="174"/>
  <c r="CD37" i="174"/>
  <c r="CB37" i="174"/>
  <c r="BY37" i="174"/>
  <c r="BV37" i="174"/>
  <c r="BU37" i="174"/>
  <c r="BS37" i="174"/>
  <c r="BL37" i="174"/>
  <c r="BB37" i="174"/>
  <c r="BX37" i="174" s="1"/>
  <c r="AX37" i="174"/>
  <c r="BT37" i="174" s="1"/>
  <c r="AO37" i="174"/>
  <c r="AA37" i="174"/>
  <c r="ED36" i="174"/>
  <c r="EB36" i="174"/>
  <c r="EA36" i="174"/>
  <c r="DZ36" i="174"/>
  <c r="DY36" i="174"/>
  <c r="DX36" i="174"/>
  <c r="DW36" i="174"/>
  <c r="DV36" i="174"/>
  <c r="DT36" i="174"/>
  <c r="DS36" i="174"/>
  <c r="DQ36" i="174"/>
  <c r="DP36" i="174"/>
  <c r="DN36" i="174"/>
  <c r="DM36" i="174"/>
  <c r="CP36" i="174"/>
  <c r="CN36" i="174" s="1"/>
  <c r="H36" i="174" s="1"/>
  <c r="CL36" i="174"/>
  <c r="CI36" i="174"/>
  <c r="CH36" i="174"/>
  <c r="CG36" i="174"/>
  <c r="CF36" i="174"/>
  <c r="CE36" i="174"/>
  <c r="CD36" i="174"/>
  <c r="CB36" i="174"/>
  <c r="BY36" i="174"/>
  <c r="BX36" i="174"/>
  <c r="BV36" i="174"/>
  <c r="BU36" i="174"/>
  <c r="BT36" i="174"/>
  <c r="BR36" i="174" s="1"/>
  <c r="BS36" i="174"/>
  <c r="AV36" i="174"/>
  <c r="AA36" i="174"/>
  <c r="ED35" i="174"/>
  <c r="EB35" i="174"/>
  <c r="EA35" i="174"/>
  <c r="DZ35" i="174"/>
  <c r="DY35" i="174"/>
  <c r="DX35" i="174"/>
  <c r="DW35" i="174"/>
  <c r="DV35" i="174"/>
  <c r="DT35" i="174"/>
  <c r="DS35" i="174"/>
  <c r="DL35" i="174"/>
  <c r="CR35" i="174"/>
  <c r="CQ35" i="174"/>
  <c r="CQ67" i="174" s="1"/>
  <c r="CQ197" i="174" s="1"/>
  <c r="CL35" i="174"/>
  <c r="CI35" i="174"/>
  <c r="CH35" i="174"/>
  <c r="CG35" i="174"/>
  <c r="CF35" i="174"/>
  <c r="CE35" i="174"/>
  <c r="CD35" i="174"/>
  <c r="CB35" i="174"/>
  <c r="BU35" i="174"/>
  <c r="BT35" i="174"/>
  <c r="BS35" i="174"/>
  <c r="AZ35" i="174"/>
  <c r="BV35" i="174" s="1"/>
  <c r="AF35" i="174"/>
  <c r="AE35" i="174"/>
  <c r="AC35" i="174"/>
  <c r="AA35" i="174"/>
  <c r="EC34" i="174"/>
  <c r="DU34" i="174"/>
  <c r="DR34" i="174"/>
  <c r="DG34" i="174"/>
  <c r="DG197" i="174" s="1"/>
  <c r="DF34" i="174"/>
  <c r="DE34" i="174"/>
  <c r="DA34" i="174"/>
  <c r="CZ34" i="174"/>
  <c r="CY34" i="174"/>
  <c r="CX34" i="174"/>
  <c r="CX197" i="174" s="1"/>
  <c r="CX208" i="174" s="1"/>
  <c r="CW34" i="174"/>
  <c r="CV34" i="174"/>
  <c r="CS34" i="174"/>
  <c r="CR34" i="174"/>
  <c r="CP34" i="174"/>
  <c r="CO34" i="174"/>
  <c r="CJ34" i="174"/>
  <c r="CB34" i="174"/>
  <c r="BZ34" i="174"/>
  <c r="BW34" i="174"/>
  <c r="BU34" i="174"/>
  <c r="BO34" i="174"/>
  <c r="BN34" i="174"/>
  <c r="BM34" i="174"/>
  <c r="BI34" i="174"/>
  <c r="BH34" i="174"/>
  <c r="BG34" i="174"/>
  <c r="BF34" i="174"/>
  <c r="BE34" i="174"/>
  <c r="BD34" i="174"/>
  <c r="BA34" i="174"/>
  <c r="AZ34" i="174"/>
  <c r="AX34" i="174"/>
  <c r="AW34" i="174"/>
  <c r="AR34" i="174"/>
  <c r="AR197" i="174" s="1"/>
  <c r="AR208" i="174" s="1"/>
  <c r="AQ34" i="174"/>
  <c r="AQ197" i="174" s="1"/>
  <c r="AP34" i="174"/>
  <c r="AP197" i="174" s="1"/>
  <c r="AP208" i="174" s="1"/>
  <c r="AO34" i="174"/>
  <c r="AM34" i="174"/>
  <c r="AL34" i="174"/>
  <c r="AK34" i="174"/>
  <c r="AK197" i="174" s="1"/>
  <c r="AK208" i="174" s="1"/>
  <c r="AJ34" i="174"/>
  <c r="AJ197" i="174" s="1"/>
  <c r="AI34" i="174"/>
  <c r="AI197" i="174" s="1"/>
  <c r="AH34" i="174"/>
  <c r="AH197" i="174" s="1"/>
  <c r="AH208" i="174" s="1"/>
  <c r="AG34" i="174"/>
  <c r="AG197" i="174" s="1"/>
  <c r="AG208" i="174" s="1"/>
  <c r="AD34" i="174"/>
  <c r="AD197" i="174" s="1"/>
  <c r="AD208" i="174" s="1"/>
  <c r="AC34" i="174"/>
  <c r="AB34" i="174"/>
  <c r="Z34" i="174"/>
  <c r="Z197" i="174" s="1"/>
  <c r="Z208" i="174" s="1"/>
  <c r="G34" i="174"/>
  <c r="ED33" i="174"/>
  <c r="EB33" i="174"/>
  <c r="EA33" i="174"/>
  <c r="DZ33" i="174"/>
  <c r="DY33" i="174"/>
  <c r="DX33" i="174"/>
  <c r="DW33" i="174"/>
  <c r="DV33" i="174"/>
  <c r="DT33" i="174"/>
  <c r="DS33" i="174"/>
  <c r="DQ33" i="174"/>
  <c r="DP33" i="174"/>
  <c r="DN33" i="174"/>
  <c r="DL33" i="174"/>
  <c r="DK33" i="174"/>
  <c r="CN33" i="174"/>
  <c r="H33" i="174" s="1"/>
  <c r="I33" i="174" s="1"/>
  <c r="CI33" i="174"/>
  <c r="CH33" i="174"/>
  <c r="CG33" i="174"/>
  <c r="CE33" i="174"/>
  <c r="CD33" i="174"/>
  <c r="BY33" i="174"/>
  <c r="BX33" i="174"/>
  <c r="BV33" i="174"/>
  <c r="BT33" i="174"/>
  <c r="BS33" i="174"/>
  <c r="BP33" i="174"/>
  <c r="AV33" i="174" s="1"/>
  <c r="AU33" i="174" s="1"/>
  <c r="BQ33" i="174" s="1"/>
  <c r="CF33" i="174"/>
  <c r="Y33" i="174"/>
  <c r="ED32" i="174"/>
  <c r="EB32" i="174"/>
  <c r="EA32" i="174"/>
  <c r="DZ32" i="174"/>
  <c r="DW32" i="174"/>
  <c r="DV32" i="174"/>
  <c r="DT32" i="174"/>
  <c r="DS32" i="174"/>
  <c r="DQ32" i="174"/>
  <c r="DP32" i="174"/>
  <c r="DO32" i="174"/>
  <c r="DN32" i="174"/>
  <c r="DL32" i="174"/>
  <c r="DK32" i="174"/>
  <c r="DB32" i="174"/>
  <c r="CL32" i="174"/>
  <c r="CI32" i="174"/>
  <c r="CH32" i="174"/>
  <c r="CE32" i="174"/>
  <c r="CD32" i="174"/>
  <c r="BY32" i="174"/>
  <c r="BX32" i="174"/>
  <c r="BV32" i="174"/>
  <c r="BT32" i="174"/>
  <c r="BS32" i="174"/>
  <c r="BK32" i="174"/>
  <c r="BJ32" i="174"/>
  <c r="Y32" i="174"/>
  <c r="ED31" i="174"/>
  <c r="EB31" i="174"/>
  <c r="EA31" i="174"/>
  <c r="DZ31" i="174"/>
  <c r="DY31" i="174"/>
  <c r="DW31" i="174"/>
  <c r="DV31" i="174"/>
  <c r="DT31" i="174"/>
  <c r="DS31" i="174"/>
  <c r="DQ31" i="174"/>
  <c r="DP31" i="174"/>
  <c r="DO31" i="174"/>
  <c r="DN31" i="174"/>
  <c r="DL31" i="174"/>
  <c r="DK31" i="174"/>
  <c r="DX31" i="174"/>
  <c r="CN31" i="174"/>
  <c r="CL31" i="174"/>
  <c r="CI31" i="174"/>
  <c r="CH31" i="174"/>
  <c r="CG31" i="174"/>
  <c r="CE31" i="174"/>
  <c r="CD31" i="174"/>
  <c r="BY31" i="174"/>
  <c r="BX31" i="174"/>
  <c r="BV31" i="174"/>
  <c r="BT31" i="174"/>
  <c r="BS31" i="174"/>
  <c r="AV31" i="174"/>
  <c r="Y31" i="174"/>
  <c r="ED30" i="174"/>
  <c r="EB30" i="174"/>
  <c r="EA30" i="174"/>
  <c r="DZ30" i="174"/>
  <c r="DY30" i="174"/>
  <c r="DW30" i="174"/>
  <c r="DV30" i="174"/>
  <c r="DT30" i="174"/>
  <c r="DS30" i="174"/>
  <c r="DQ30" i="174"/>
  <c r="DP30" i="174"/>
  <c r="DO30" i="174"/>
  <c r="DN30" i="174"/>
  <c r="DL30" i="174"/>
  <c r="DK30" i="174"/>
  <c r="DB30" i="174"/>
  <c r="DX30" i="174" s="1"/>
  <c r="CL30" i="174"/>
  <c r="CI30" i="174"/>
  <c r="CH30" i="174"/>
  <c r="CG30" i="174"/>
  <c r="CE30" i="174"/>
  <c r="CD30" i="174"/>
  <c r="BY30" i="174"/>
  <c r="BX30" i="174"/>
  <c r="BV30" i="174"/>
  <c r="BT30" i="174"/>
  <c r="BS30" i="174"/>
  <c r="Y30" i="174"/>
  <c r="ED29" i="174"/>
  <c r="EB29" i="174"/>
  <c r="EA29" i="174"/>
  <c r="DZ29" i="174"/>
  <c r="DY29" i="174"/>
  <c r="DX29" i="174"/>
  <c r="DW29" i="174"/>
  <c r="DV29" i="174"/>
  <c r="DT29" i="174"/>
  <c r="DS29" i="174"/>
  <c r="DQ29" i="174"/>
  <c r="DP29" i="174"/>
  <c r="DO29" i="174"/>
  <c r="DN29" i="174"/>
  <c r="DL29" i="174"/>
  <c r="DK29" i="174"/>
  <c r="CN29" i="174"/>
  <c r="CL29" i="174"/>
  <c r="CI29" i="174"/>
  <c r="CH29" i="174"/>
  <c r="CG29" i="174"/>
  <c r="CF29" i="174"/>
  <c r="CE29" i="174"/>
  <c r="CD29" i="174"/>
  <c r="BY29" i="174"/>
  <c r="BX29" i="174"/>
  <c r="BV29" i="174"/>
  <c r="BT29" i="174"/>
  <c r="BS29" i="174"/>
  <c r="BR29" i="174" s="1"/>
  <c r="AV29" i="174"/>
  <c r="Y29" i="174"/>
  <c r="I29" i="174" s="1"/>
  <c r="H29" i="174"/>
  <c r="ED28" i="174"/>
  <c r="EB28" i="174"/>
  <c r="EA28" i="174"/>
  <c r="DZ28" i="174"/>
  <c r="DY28" i="174"/>
  <c r="DX28" i="174"/>
  <c r="DW28" i="174"/>
  <c r="DV28" i="174"/>
  <c r="DT28" i="174"/>
  <c r="DS28" i="174"/>
  <c r="DQ28" i="174"/>
  <c r="DP28" i="174"/>
  <c r="DO28" i="174"/>
  <c r="DN28" i="174"/>
  <c r="DL28" i="174"/>
  <c r="DK28" i="174"/>
  <c r="CN28" i="174"/>
  <c r="CL28" i="174"/>
  <c r="CI28" i="174"/>
  <c r="CH28" i="174"/>
  <c r="CG28" i="174"/>
  <c r="CF28" i="174"/>
  <c r="CE28" i="174"/>
  <c r="CD28" i="174"/>
  <c r="BY28" i="174"/>
  <c r="BX28" i="174"/>
  <c r="BV28" i="174"/>
  <c r="BT28" i="174"/>
  <c r="BS28" i="174"/>
  <c r="BR28" i="174" s="1"/>
  <c r="AV28" i="174"/>
  <c r="AU28" i="174" s="1"/>
  <c r="BQ28" i="174" s="1"/>
  <c r="AM28" i="174"/>
  <c r="Y28" i="174"/>
  <c r="H28" i="174"/>
  <c r="I28" i="174" s="1"/>
  <c r="ED27" i="174"/>
  <c r="EB27" i="174"/>
  <c r="EA27" i="174"/>
  <c r="DZ27" i="174"/>
  <c r="DY27" i="174"/>
  <c r="DX27" i="174"/>
  <c r="DW27" i="174"/>
  <c r="DV27" i="174"/>
  <c r="DT27" i="174"/>
  <c r="DS27" i="174"/>
  <c r="DQ27" i="174"/>
  <c r="DP27" i="174"/>
  <c r="DO27" i="174"/>
  <c r="DN27" i="174"/>
  <c r="DL27" i="174"/>
  <c r="DK27" i="174"/>
  <c r="CN27" i="174"/>
  <c r="CL27" i="174"/>
  <c r="CI27" i="174"/>
  <c r="CH27" i="174"/>
  <c r="CG27" i="174"/>
  <c r="CF27" i="174"/>
  <c r="CE27" i="174"/>
  <c r="CD27" i="174"/>
  <c r="BY27" i="174"/>
  <c r="BX27" i="174"/>
  <c r="BV27" i="174"/>
  <c r="BT27" i="174"/>
  <c r="BS27" i="174"/>
  <c r="AV27" i="174"/>
  <c r="AM27" i="174"/>
  <c r="Y27" i="174"/>
  <c r="I27" i="174" s="1"/>
  <c r="H27" i="174"/>
  <c r="ED26" i="174"/>
  <c r="EB26" i="174"/>
  <c r="EA26" i="174"/>
  <c r="DZ26" i="174"/>
  <c r="DY26" i="174"/>
  <c r="DX26" i="174"/>
  <c r="DW26" i="174"/>
  <c r="DV26" i="174"/>
  <c r="DT26" i="174"/>
  <c r="DS26" i="174"/>
  <c r="DQ26" i="174"/>
  <c r="DP26" i="174"/>
  <c r="DO26" i="174"/>
  <c r="DN26" i="174"/>
  <c r="DL26" i="174"/>
  <c r="DK26" i="174"/>
  <c r="CN26" i="174"/>
  <c r="CM26" i="174" s="1"/>
  <c r="DI26" i="174" s="1"/>
  <c r="CL26" i="174"/>
  <c r="CI26" i="174"/>
  <c r="CH26" i="174"/>
  <c r="CG26" i="174"/>
  <c r="CF26" i="174"/>
  <c r="CE26" i="174"/>
  <c r="CD26" i="174"/>
  <c r="BY26" i="174"/>
  <c r="BX26" i="174"/>
  <c r="BV26" i="174"/>
  <c r="BT26" i="174"/>
  <c r="BS26" i="174"/>
  <c r="BR26" i="174" s="1"/>
  <c r="AV26" i="174"/>
  <c r="AU26" i="174" s="1"/>
  <c r="BQ26" i="174" s="1"/>
  <c r="Y26" i="174"/>
  <c r="H26" i="174"/>
  <c r="I26" i="174" s="1"/>
  <c r="ED25" i="174"/>
  <c r="EB25" i="174"/>
  <c r="EA25" i="174"/>
  <c r="DZ25" i="174"/>
  <c r="DX25" i="174"/>
  <c r="DW25" i="174"/>
  <c r="DV25" i="174"/>
  <c r="DT25" i="174"/>
  <c r="DS25" i="174"/>
  <c r="DQ25" i="174"/>
  <c r="DO25" i="174"/>
  <c r="DN25" i="174"/>
  <c r="DL25" i="174"/>
  <c r="DK25" i="174"/>
  <c r="DC25" i="174"/>
  <c r="CL25" i="174"/>
  <c r="CI25" i="174"/>
  <c r="CH25" i="174"/>
  <c r="CF25" i="174"/>
  <c r="CE25" i="174"/>
  <c r="CD25" i="174"/>
  <c r="BY25" i="174"/>
  <c r="BV25" i="174"/>
  <c r="BT25" i="174"/>
  <c r="BS25" i="174"/>
  <c r="BK25" i="174"/>
  <c r="BB25" i="174"/>
  <c r="BX25" i="174" s="1"/>
  <c r="Y25" i="174"/>
  <c r="ED24" i="174"/>
  <c r="EB24" i="174"/>
  <c r="EA24" i="174"/>
  <c r="DZ24" i="174"/>
  <c r="DY24" i="174"/>
  <c r="DX24" i="174"/>
  <c r="DW24" i="174"/>
  <c r="DV24" i="174"/>
  <c r="DT24" i="174"/>
  <c r="DS24" i="174"/>
  <c r="DQ24" i="174"/>
  <c r="DO24" i="174"/>
  <c r="DN24" i="174"/>
  <c r="DL24" i="174"/>
  <c r="DK24" i="174"/>
  <c r="CL24" i="174"/>
  <c r="CK24" i="174"/>
  <c r="CJ24" i="174"/>
  <c r="CI24" i="174"/>
  <c r="CH24" i="174"/>
  <c r="CG24" i="174"/>
  <c r="CF24" i="174"/>
  <c r="CE24" i="174"/>
  <c r="CD24" i="174"/>
  <c r="CC24" i="174"/>
  <c r="CB24" i="174"/>
  <c r="CA24" i="174"/>
  <c r="BY24" i="174"/>
  <c r="BV24" i="174"/>
  <c r="BT24" i="174"/>
  <c r="BS24" i="174"/>
  <c r="BX24" i="174"/>
  <c r="AV24" i="174"/>
  <c r="AU24" i="174" s="1"/>
  <c r="BQ24" i="174" s="1"/>
  <c r="Y24" i="174"/>
  <c r="ED23" i="174"/>
  <c r="EB23" i="174"/>
  <c r="EA23" i="174"/>
  <c r="DX23" i="174"/>
  <c r="DW23" i="174"/>
  <c r="DV23" i="174"/>
  <c r="DT23" i="174"/>
  <c r="DS23" i="174"/>
  <c r="DQ23" i="174"/>
  <c r="DP23" i="174"/>
  <c r="DO23" i="174"/>
  <c r="DN23" i="174"/>
  <c r="DL23" i="174"/>
  <c r="DK23" i="174"/>
  <c r="DZ23" i="174"/>
  <c r="CN23" i="174"/>
  <c r="H23" i="174" s="1"/>
  <c r="CL23" i="174"/>
  <c r="CI23" i="174"/>
  <c r="CF23" i="174"/>
  <c r="CE23" i="174"/>
  <c r="CD23" i="174"/>
  <c r="BY23" i="174"/>
  <c r="BX23" i="174"/>
  <c r="BV23" i="174"/>
  <c r="BT23" i="174"/>
  <c r="BS23" i="174"/>
  <c r="BL23" i="174"/>
  <c r="AN23" i="174"/>
  <c r="DY23" i="174" s="1"/>
  <c r="EB22" i="174"/>
  <c r="EA22" i="174"/>
  <c r="DY22" i="174"/>
  <c r="DX22" i="174"/>
  <c r="DW22" i="174"/>
  <c r="DV22" i="174"/>
  <c r="DT22" i="174"/>
  <c r="DS22" i="174"/>
  <c r="DQ22" i="174"/>
  <c r="DP22" i="174"/>
  <c r="DO22" i="174"/>
  <c r="DN22" i="174"/>
  <c r="DL22" i="174"/>
  <c r="DK22" i="174"/>
  <c r="DZ22" i="174"/>
  <c r="CI22" i="174"/>
  <c r="CH22" i="174"/>
  <c r="CG22" i="174"/>
  <c r="CF22" i="174"/>
  <c r="CE22" i="174"/>
  <c r="CD22" i="174"/>
  <c r="BY22" i="174"/>
  <c r="BX22" i="174"/>
  <c r="BV22" i="174"/>
  <c r="BT22" i="174"/>
  <c r="BS22" i="174"/>
  <c r="BP22" i="174"/>
  <c r="BL22" i="174"/>
  <c r="AS22" i="174"/>
  <c r="Y22" i="174"/>
  <c r="ED21" i="174"/>
  <c r="EB21" i="174"/>
  <c r="EA21" i="174"/>
  <c r="DZ21" i="174"/>
  <c r="DY21" i="174"/>
  <c r="DX21" i="174"/>
  <c r="DW21" i="174"/>
  <c r="DV21" i="174"/>
  <c r="DT21" i="174"/>
  <c r="DS21" i="174"/>
  <c r="DP21" i="174"/>
  <c r="DO21" i="174"/>
  <c r="DN21" i="174"/>
  <c r="DK21" i="174"/>
  <c r="CN21" i="174"/>
  <c r="H21" i="174" s="1"/>
  <c r="CL21" i="174"/>
  <c r="CI21" i="174"/>
  <c r="CH21" i="174"/>
  <c r="CG21" i="174"/>
  <c r="CF21" i="174"/>
  <c r="CE21" i="174"/>
  <c r="CD21" i="174"/>
  <c r="BX21" i="174"/>
  <c r="BV21" i="174"/>
  <c r="BS21" i="174"/>
  <c r="AV21" i="174"/>
  <c r="AF21" i="174"/>
  <c r="DQ21" i="174" s="1"/>
  <c r="AA21" i="174"/>
  <c r="AA34" i="174" s="1"/>
  <c r="Y21" i="174"/>
  <c r="CM21" i="174" s="1"/>
  <c r="DI21" i="174" s="1"/>
  <c r="I21" i="174"/>
  <c r="ED20" i="174"/>
  <c r="EB20" i="174"/>
  <c r="EA20" i="174"/>
  <c r="DZ20" i="174"/>
  <c r="DX20" i="174"/>
  <c r="DW20" i="174"/>
  <c r="DV20" i="174"/>
  <c r="DT20" i="174"/>
  <c r="DS20" i="174"/>
  <c r="DP20" i="174"/>
  <c r="DO20" i="174"/>
  <c r="DN20" i="174"/>
  <c r="DL20" i="174"/>
  <c r="DK20" i="174"/>
  <c r="CN20" i="174"/>
  <c r="CL20" i="174"/>
  <c r="CI20" i="174"/>
  <c r="CH20" i="174"/>
  <c r="CF20" i="174"/>
  <c r="CE20" i="174"/>
  <c r="CD20" i="174"/>
  <c r="BX20" i="174"/>
  <c r="BV20" i="174"/>
  <c r="BT20" i="174"/>
  <c r="BS20" i="174"/>
  <c r="AV20" i="174"/>
  <c r="AN20" i="174"/>
  <c r="CG20" i="174" s="1"/>
  <c r="AF20" i="174"/>
  <c r="Y20" i="174"/>
  <c r="H20" i="174"/>
  <c r="ED19" i="174"/>
  <c r="EB19" i="174"/>
  <c r="EA19" i="174"/>
  <c r="DZ19" i="174"/>
  <c r="DY19" i="174"/>
  <c r="DX19" i="174"/>
  <c r="DW19" i="174"/>
  <c r="DV19" i="174"/>
  <c r="DT19" i="174"/>
  <c r="DS19" i="174"/>
  <c r="DP19" i="174"/>
  <c r="DO19" i="174"/>
  <c r="DN19" i="174"/>
  <c r="DK19" i="174"/>
  <c r="CN19" i="174"/>
  <c r="CM19" i="174" s="1"/>
  <c r="DI19" i="174" s="1"/>
  <c r="CL19" i="174"/>
  <c r="CI19" i="174"/>
  <c r="CH19" i="174"/>
  <c r="CG19" i="174"/>
  <c r="CF19" i="174"/>
  <c r="CE19" i="174"/>
  <c r="CD19" i="174"/>
  <c r="BX19" i="174"/>
  <c r="BV19" i="174"/>
  <c r="BT19" i="174"/>
  <c r="BS19" i="174"/>
  <c r="BY19" i="174"/>
  <c r="AV19" i="174"/>
  <c r="AU19" i="174" s="1"/>
  <c r="BQ19" i="174" s="1"/>
  <c r="AN19" i="174"/>
  <c r="AF19" i="174"/>
  <c r="DQ19" i="174" s="1"/>
  <c r="AA19" i="174"/>
  <c r="Y19" i="174" s="1"/>
  <c r="ED18" i="174"/>
  <c r="EB18" i="174"/>
  <c r="EA18" i="174"/>
  <c r="DZ18" i="174"/>
  <c r="DY18" i="174"/>
  <c r="DX18" i="174"/>
  <c r="DW18" i="174"/>
  <c r="DV18" i="174"/>
  <c r="DT18" i="174"/>
  <c r="DS18" i="174"/>
  <c r="DP18" i="174"/>
  <c r="DO18" i="174"/>
  <c r="DN18" i="174"/>
  <c r="DL18" i="174"/>
  <c r="DK18" i="174"/>
  <c r="CI18" i="174"/>
  <c r="CH18" i="174"/>
  <c r="CG18" i="174"/>
  <c r="CF18" i="174"/>
  <c r="CE18" i="174"/>
  <c r="CD18" i="174"/>
  <c r="CC18" i="174"/>
  <c r="CC201" i="174" s="1"/>
  <c r="CB18" i="174"/>
  <c r="CB201" i="174" s="1"/>
  <c r="CA18" i="174"/>
  <c r="CA201" i="174" s="1"/>
  <c r="BV18" i="174"/>
  <c r="BT18" i="174"/>
  <c r="BS18" i="174"/>
  <c r="BY18" i="174"/>
  <c r="BB18" i="174"/>
  <c r="BX18" i="174" s="1"/>
  <c r="AS18" i="174"/>
  <c r="CL18" i="174" s="1"/>
  <c r="AF18" i="174"/>
  <c r="Y18" i="174" s="1"/>
  <c r="EB17" i="174"/>
  <c r="EA17" i="174"/>
  <c r="DZ17" i="174"/>
  <c r="DX17" i="174"/>
  <c r="DW17" i="174"/>
  <c r="DV17" i="174"/>
  <c r="DV201" i="174" s="1"/>
  <c r="DT17" i="174"/>
  <c r="DS17" i="174"/>
  <c r="DQ17" i="174"/>
  <c r="DO17" i="174"/>
  <c r="DN17" i="174"/>
  <c r="DL17" i="174"/>
  <c r="DK17" i="174"/>
  <c r="DH201" i="174"/>
  <c r="CI17" i="174"/>
  <c r="CH17" i="174"/>
  <c r="CF17" i="174"/>
  <c r="CE17" i="174"/>
  <c r="CD17" i="174"/>
  <c r="BY17" i="174"/>
  <c r="BX17" i="174"/>
  <c r="BV17" i="174"/>
  <c r="BT17" i="174"/>
  <c r="BS17" i="174"/>
  <c r="AS17" i="174"/>
  <c r="ED17" i="174" s="1"/>
  <c r="AN17" i="174"/>
  <c r="ED16" i="174"/>
  <c r="EB16" i="174"/>
  <c r="EA16" i="174"/>
  <c r="DZ16" i="174"/>
  <c r="DX16" i="174"/>
  <c r="DW16" i="174"/>
  <c r="DV16" i="174"/>
  <c r="DT16" i="174"/>
  <c r="DS16" i="174"/>
  <c r="DQ16" i="174"/>
  <c r="DP16" i="174"/>
  <c r="DO16" i="174"/>
  <c r="DN16" i="174"/>
  <c r="DL16" i="174"/>
  <c r="DK16" i="174"/>
  <c r="CN16" i="174"/>
  <c r="H16" i="174" s="1"/>
  <c r="CL16" i="174"/>
  <c r="CI16" i="174"/>
  <c r="CH16" i="174"/>
  <c r="CF16" i="174"/>
  <c r="CE16" i="174"/>
  <c r="CD16" i="174"/>
  <c r="BY16" i="174"/>
  <c r="BX16" i="174"/>
  <c r="BV16" i="174"/>
  <c r="BT16" i="174"/>
  <c r="BS16" i="174"/>
  <c r="AV16" i="174"/>
  <c r="AN16" i="174"/>
  <c r="ED15" i="174"/>
  <c r="EB15" i="174"/>
  <c r="EA15" i="174"/>
  <c r="DZ15" i="174"/>
  <c r="DY15" i="174"/>
  <c r="DX15" i="174"/>
  <c r="DW15" i="174"/>
  <c r="DV15" i="174"/>
  <c r="DT15" i="174"/>
  <c r="DS15" i="174"/>
  <c r="DQ15" i="174"/>
  <c r="DP15" i="174"/>
  <c r="DO15" i="174"/>
  <c r="DN15" i="174"/>
  <c r="DL15" i="174"/>
  <c r="DK15" i="174"/>
  <c r="CN15" i="174"/>
  <c r="CM15" i="174" s="1"/>
  <c r="DI15" i="174" s="1"/>
  <c r="CL15" i="174"/>
  <c r="CI15" i="174"/>
  <c r="CH15" i="174"/>
  <c r="CG15" i="174"/>
  <c r="CF15" i="174"/>
  <c r="CE15" i="174"/>
  <c r="CD15" i="174"/>
  <c r="BY15" i="174"/>
  <c r="BX15" i="174"/>
  <c r="BV15" i="174"/>
  <c r="BT15" i="174"/>
  <c r="BS15" i="174"/>
  <c r="BR15" i="174" s="1"/>
  <c r="AV15" i="174"/>
  <c r="AU15" i="174" s="1"/>
  <c r="BQ15" i="174" s="1"/>
  <c r="Y15" i="174"/>
  <c r="ED14" i="174"/>
  <c r="EB14" i="174"/>
  <c r="EA14" i="174"/>
  <c r="DZ14" i="174"/>
  <c r="DY14" i="174"/>
  <c r="DX14" i="174"/>
  <c r="DW14" i="174"/>
  <c r="DV14" i="174"/>
  <c r="DT14" i="174"/>
  <c r="DS14" i="174"/>
  <c r="DQ14" i="174"/>
  <c r="DP14" i="174"/>
  <c r="DO14" i="174"/>
  <c r="DN14" i="174"/>
  <c r="DL14" i="174"/>
  <c r="DK14" i="174"/>
  <c r="CN14" i="174"/>
  <c r="H14" i="174" s="1"/>
  <c r="CM14" i="174"/>
  <c r="DI14" i="174" s="1"/>
  <c r="CL14" i="174"/>
  <c r="CI14" i="174"/>
  <c r="CI34" i="174" s="1"/>
  <c r="CH14" i="174"/>
  <c r="CG14" i="174"/>
  <c r="CF14" i="174"/>
  <c r="CE14" i="174"/>
  <c r="CD14" i="174"/>
  <c r="BY14" i="174"/>
  <c r="BX14" i="174"/>
  <c r="BV14" i="174"/>
  <c r="BT14" i="174"/>
  <c r="BS14" i="174"/>
  <c r="AV14" i="174"/>
  <c r="Y14" i="174"/>
  <c r="AU14" i="174" s="1"/>
  <c r="BQ14" i="174" s="1"/>
  <c r="I14" i="174"/>
  <c r="ED13" i="174"/>
  <c r="EB13" i="174"/>
  <c r="EA13" i="174"/>
  <c r="DZ13" i="174"/>
  <c r="DY13" i="174"/>
  <c r="DX13" i="174"/>
  <c r="DW13" i="174"/>
  <c r="DV13" i="174"/>
  <c r="DT13" i="174"/>
  <c r="DS13" i="174"/>
  <c r="DQ13" i="174"/>
  <c r="DP13" i="174"/>
  <c r="DO13" i="174"/>
  <c r="DN13" i="174"/>
  <c r="DL13" i="174"/>
  <c r="DK13" i="174"/>
  <c r="CN13" i="174"/>
  <c r="H13" i="174" s="1"/>
  <c r="CL13" i="174"/>
  <c r="CI13" i="174"/>
  <c r="CH13" i="174"/>
  <c r="CG13" i="174"/>
  <c r="CF13" i="174"/>
  <c r="CE13" i="174"/>
  <c r="CD13" i="174"/>
  <c r="BY13" i="174"/>
  <c r="BX13" i="174"/>
  <c r="BV13" i="174"/>
  <c r="BT13" i="174"/>
  <c r="BS13" i="174"/>
  <c r="AV13" i="174"/>
  <c r="AU13" i="174" s="1"/>
  <c r="BQ13" i="174" s="1"/>
  <c r="Y13" i="174"/>
  <c r="ED12" i="174"/>
  <c r="EB12" i="174"/>
  <c r="EA12" i="174"/>
  <c r="DZ12" i="174"/>
  <c r="DY12" i="174"/>
  <c r="DX12" i="174"/>
  <c r="DW12" i="174"/>
  <c r="DV12" i="174"/>
  <c r="DT12" i="174"/>
  <c r="DS12" i="174"/>
  <c r="DQ12" i="174"/>
  <c r="DO12" i="174"/>
  <c r="DN12" i="174"/>
  <c r="DL12" i="174"/>
  <c r="DK12" i="174"/>
  <c r="CT12" i="174"/>
  <c r="DP12" i="174" s="1"/>
  <c r="CN12" i="174"/>
  <c r="H12" i="174" s="1"/>
  <c r="I12" i="174" s="1"/>
  <c r="CL12" i="174"/>
  <c r="CI12" i="174"/>
  <c r="CH12" i="174"/>
  <c r="CG12" i="174"/>
  <c r="CF12" i="174"/>
  <c r="CE12" i="174"/>
  <c r="CD12" i="174"/>
  <c r="BY12" i="174"/>
  <c r="BV12" i="174"/>
  <c r="BT12" i="174"/>
  <c r="BS12" i="174"/>
  <c r="BB12" i="174"/>
  <c r="AV12" i="174" s="1"/>
  <c r="AU12" i="174" s="1"/>
  <c r="BQ12" i="174" s="1"/>
  <c r="Y12" i="174"/>
  <c r="ED11" i="174"/>
  <c r="EB11" i="174"/>
  <c r="EA11" i="174"/>
  <c r="DZ11" i="174"/>
  <c r="DY11" i="174"/>
  <c r="DX11" i="174"/>
  <c r="DW11" i="174"/>
  <c r="DV11" i="174"/>
  <c r="DT11" i="174"/>
  <c r="DS11" i="174"/>
  <c r="DQ11" i="174"/>
  <c r="DO11" i="174"/>
  <c r="DN11" i="174"/>
  <c r="DL11" i="174"/>
  <c r="DK11" i="174"/>
  <c r="CN11" i="174"/>
  <c r="H11" i="174" s="1"/>
  <c r="CL11" i="174"/>
  <c r="CI11" i="174"/>
  <c r="CH11" i="174"/>
  <c r="CG11" i="174"/>
  <c r="CF11" i="174"/>
  <c r="CE11" i="174"/>
  <c r="CD11" i="174"/>
  <c r="BY11" i="174"/>
  <c r="BV11" i="174"/>
  <c r="BT11" i="174"/>
  <c r="BS11" i="174"/>
  <c r="AV11" i="174"/>
  <c r="AE11" i="174"/>
  <c r="EB10" i="174"/>
  <c r="EA10" i="174"/>
  <c r="DZ10" i="174"/>
  <c r="DY10" i="174"/>
  <c r="DX10" i="174"/>
  <c r="DW10" i="174"/>
  <c r="DV10" i="174"/>
  <c r="DT10" i="174"/>
  <c r="DS10" i="174"/>
  <c r="DQ10" i="174"/>
  <c r="DP10" i="174"/>
  <c r="DO10" i="174"/>
  <c r="DN10" i="174"/>
  <c r="DL10" i="174"/>
  <c r="DK10" i="174"/>
  <c r="CI10" i="174"/>
  <c r="CH10" i="174"/>
  <c r="CG10" i="174"/>
  <c r="CF10" i="174"/>
  <c r="CE10" i="174"/>
  <c r="CD10" i="174"/>
  <c r="CC10" i="174"/>
  <c r="CB10" i="174"/>
  <c r="CA10" i="174"/>
  <c r="BY10" i="174"/>
  <c r="BX10" i="174"/>
  <c r="BV10" i="174"/>
  <c r="BT10" i="174"/>
  <c r="BS10" i="174"/>
  <c r="BP10" i="174"/>
  <c r="AV10" i="174"/>
  <c r="AS10" i="174"/>
  <c r="Y10" i="174"/>
  <c r="ED9" i="174"/>
  <c r="EB9" i="174"/>
  <c r="EA9" i="174"/>
  <c r="DZ9" i="174"/>
  <c r="DY9" i="174"/>
  <c r="DW9" i="174"/>
  <c r="DV9" i="174"/>
  <c r="DT9" i="174"/>
  <c r="DS9" i="174"/>
  <c r="DQ9" i="174"/>
  <c r="DP9" i="174"/>
  <c r="DO9" i="174"/>
  <c r="DN9" i="174"/>
  <c r="DL9" i="174"/>
  <c r="DK9" i="174"/>
  <c r="DB9" i="174"/>
  <c r="DX9" i="174" s="1"/>
  <c r="CN9" i="174"/>
  <c r="H9" i="174" s="1"/>
  <c r="CL9" i="174"/>
  <c r="CI9" i="174"/>
  <c r="CH9" i="174"/>
  <c r="CG9" i="174"/>
  <c r="CE9" i="174"/>
  <c r="CD9" i="174"/>
  <c r="BY9" i="174"/>
  <c r="BX9" i="174"/>
  <c r="BV9" i="174"/>
  <c r="BT9" i="174"/>
  <c r="BS9" i="174"/>
  <c r="BJ9" i="174"/>
  <c r="CF9" i="174" s="1"/>
  <c r="AM9" i="174"/>
  <c r="Y9" i="174"/>
  <c r="ED8" i="174"/>
  <c r="EB8" i="174"/>
  <c r="EA8" i="174"/>
  <c r="EA34" i="174" s="1"/>
  <c r="DZ8" i="174"/>
  <c r="DY8" i="174"/>
  <c r="DX8" i="174"/>
  <c r="DW8" i="174"/>
  <c r="DV8" i="174"/>
  <c r="DT8" i="174"/>
  <c r="DS8" i="174"/>
  <c r="DQ8" i="174"/>
  <c r="DP8" i="174"/>
  <c r="DO8" i="174"/>
  <c r="DN8" i="174"/>
  <c r="DL8" i="174"/>
  <c r="DK8" i="174"/>
  <c r="CN8" i="174"/>
  <c r="H8" i="174" s="1"/>
  <c r="CL8" i="174"/>
  <c r="CI8" i="174"/>
  <c r="CH8" i="174"/>
  <c r="CG8" i="174"/>
  <c r="CF8" i="174"/>
  <c r="CE8" i="174"/>
  <c r="CD8" i="174"/>
  <c r="BY8" i="174"/>
  <c r="BX8" i="174"/>
  <c r="BV8" i="174"/>
  <c r="BT8" i="174"/>
  <c r="BS8" i="174"/>
  <c r="AV8" i="174"/>
  <c r="AM8" i="174"/>
  <c r="Y8" i="174"/>
  <c r="I8" i="174" s="1"/>
  <c r="ED7" i="174"/>
  <c r="EB7" i="174"/>
  <c r="EA7" i="174"/>
  <c r="DZ7" i="174"/>
  <c r="DY7" i="174"/>
  <c r="DW7" i="174"/>
  <c r="DV7" i="174"/>
  <c r="DT7" i="174"/>
  <c r="DS7" i="174"/>
  <c r="DQ7" i="174"/>
  <c r="DP7" i="174"/>
  <c r="DO7" i="174"/>
  <c r="DN7" i="174"/>
  <c r="DL7" i="174"/>
  <c r="DK7" i="174"/>
  <c r="CN7" i="174"/>
  <c r="CL7" i="174"/>
  <c r="CI7" i="174"/>
  <c r="CH7" i="174"/>
  <c r="CG7" i="174"/>
  <c r="CF7" i="174"/>
  <c r="CE7" i="174"/>
  <c r="CD7" i="174"/>
  <c r="BY7" i="174"/>
  <c r="BX7" i="174"/>
  <c r="BV7" i="174"/>
  <c r="BT7" i="174"/>
  <c r="BS7" i="174"/>
  <c r="BR7" i="174"/>
  <c r="AV7" i="174"/>
  <c r="AM7" i="174"/>
  <c r="AM203" i="174" s="1"/>
  <c r="ED6" i="174"/>
  <c r="EB6" i="174"/>
  <c r="EA6" i="174"/>
  <c r="DZ6" i="174"/>
  <c r="DY6" i="174"/>
  <c r="DX6" i="174"/>
  <c r="DW6" i="174"/>
  <c r="DV6" i="174"/>
  <c r="DT6" i="174"/>
  <c r="DS6" i="174"/>
  <c r="DJ6" i="174" s="1"/>
  <c r="DQ6" i="174"/>
  <c r="DP6" i="174"/>
  <c r="DO6" i="174"/>
  <c r="DN6" i="174"/>
  <c r="DL6" i="174"/>
  <c r="DK6" i="174"/>
  <c r="DI6" i="174"/>
  <c r="CN6" i="174"/>
  <c r="CM6" i="174"/>
  <c r="CL6" i="174"/>
  <c r="CI6" i="174"/>
  <c r="CH6" i="174"/>
  <c r="CG6" i="174"/>
  <c r="CF6" i="174"/>
  <c r="CE6" i="174"/>
  <c r="CD6" i="174"/>
  <c r="BY6" i="174"/>
  <c r="BX6" i="174"/>
  <c r="BV6" i="174"/>
  <c r="BT6" i="174"/>
  <c r="BS6" i="174"/>
  <c r="BS34" i="174" s="1"/>
  <c r="AV6" i="174"/>
  <c r="AU6" i="174" s="1"/>
  <c r="BQ6" i="174" s="1"/>
  <c r="Y6" i="174"/>
  <c r="I6" i="174" s="1"/>
  <c r="H6" i="174"/>
  <c r="ED5" i="174"/>
  <c r="EB5" i="174"/>
  <c r="EA5" i="174"/>
  <c r="DZ5" i="174"/>
  <c r="DY5" i="174"/>
  <c r="DX5" i="174"/>
  <c r="DW5" i="174"/>
  <c r="DV5" i="174"/>
  <c r="DT5" i="174"/>
  <c r="DS5" i="174"/>
  <c r="DQ5" i="174"/>
  <c r="DP5" i="174"/>
  <c r="DO5" i="174"/>
  <c r="DJ5" i="174" s="1"/>
  <c r="DN5" i="174"/>
  <c r="DL5" i="174"/>
  <c r="DK5" i="174"/>
  <c r="CN5" i="174"/>
  <c r="CL5" i="174"/>
  <c r="CI5" i="174"/>
  <c r="CH5" i="174"/>
  <c r="CG5" i="174"/>
  <c r="CF5" i="174"/>
  <c r="CE5" i="174"/>
  <c r="CD5" i="174"/>
  <c r="BY5" i="174"/>
  <c r="BX5" i="174"/>
  <c r="BR5" i="174" s="1"/>
  <c r="BV5" i="174"/>
  <c r="BT5" i="174"/>
  <c r="BS5" i="174"/>
  <c r="AV5" i="174"/>
  <c r="Y5" i="174"/>
  <c r="ED4" i="174"/>
  <c r="EB4" i="174"/>
  <c r="EB203" i="174" s="1"/>
  <c r="EA4" i="174"/>
  <c r="DZ4" i="174"/>
  <c r="DY4" i="174"/>
  <c r="DW4" i="174"/>
  <c r="DV4" i="174"/>
  <c r="DT4" i="174"/>
  <c r="DS4" i="174"/>
  <c r="DS203" i="174" s="1"/>
  <c r="DQ4" i="174"/>
  <c r="DP4" i="174"/>
  <c r="DO4" i="174"/>
  <c r="DN4" i="174"/>
  <c r="DL4" i="174"/>
  <c r="DK4" i="174"/>
  <c r="DB4" i="174"/>
  <c r="CL4" i="174"/>
  <c r="CJ4" i="174"/>
  <c r="CJ203" i="174" s="1"/>
  <c r="CI4" i="174"/>
  <c r="CH4" i="174"/>
  <c r="CG4" i="174"/>
  <c r="CE4" i="174"/>
  <c r="CD4" i="174"/>
  <c r="CC4" i="174"/>
  <c r="CB4" i="174"/>
  <c r="CA4" i="174"/>
  <c r="BY4" i="174"/>
  <c r="BX4" i="174"/>
  <c r="BV4" i="174"/>
  <c r="BT4" i="174"/>
  <c r="BS4" i="174"/>
  <c r="BJ4" i="174"/>
  <c r="CF4" i="174" s="1"/>
  <c r="Y4" i="174"/>
  <c r="DZ3" i="174"/>
  <c r="BL3" i="174"/>
  <c r="CH3" i="174" s="1"/>
  <c r="DD3" i="174" s="1"/>
  <c r="ED10" i="174" l="1"/>
  <c r="CM33" i="174"/>
  <c r="DI33" i="174" s="1"/>
  <c r="DJ33" i="174"/>
  <c r="CN62" i="174"/>
  <c r="H62" i="174" s="1"/>
  <c r="I62" i="174" s="1"/>
  <c r="CM85" i="174"/>
  <c r="DI85" i="174" s="1"/>
  <c r="BR6" i="174"/>
  <c r="H19" i="174"/>
  <c r="I19" i="174" s="1"/>
  <c r="EB67" i="174"/>
  <c r="CM185" i="174"/>
  <c r="DI185" i="174" s="1"/>
  <c r="H185" i="174"/>
  <c r="I185" i="174" s="1"/>
  <c r="BR90" i="174"/>
  <c r="DN147" i="174"/>
  <c r="I9" i="174"/>
  <c r="CN63" i="174"/>
  <c r="AV79" i="174"/>
  <c r="AU79" i="174" s="1"/>
  <c r="BQ79" i="174" s="1"/>
  <c r="CM91" i="174"/>
  <c r="DI91" i="174" s="1"/>
  <c r="CI108" i="174"/>
  <c r="DP130" i="174"/>
  <c r="AV25" i="174"/>
  <c r="I79" i="174"/>
  <c r="AV39" i="174"/>
  <c r="AU39" i="174" s="1"/>
  <c r="BQ39" i="174" s="1"/>
  <c r="BR75" i="174"/>
  <c r="BR79" i="174"/>
  <c r="DP96" i="174"/>
  <c r="AV99" i="174"/>
  <c r="AU99" i="174" s="1"/>
  <c r="BQ99" i="174" s="1"/>
  <c r="H169" i="174"/>
  <c r="ED193" i="174"/>
  <c r="DJ193" i="174" s="1"/>
  <c r="CA48" i="174"/>
  <c r="CA67" i="174"/>
  <c r="CN57" i="174"/>
  <c r="H57" i="174" s="1"/>
  <c r="I57" i="174" s="1"/>
  <c r="CL122" i="174"/>
  <c r="CN124" i="174"/>
  <c r="H124" i="174" s="1"/>
  <c r="CF128" i="174"/>
  <c r="BR128" i="174" s="1"/>
  <c r="CD161" i="174"/>
  <c r="BR161" i="174" s="1"/>
  <c r="CM12" i="174"/>
  <c r="DI12" i="174" s="1"/>
  <c r="ED201" i="174"/>
  <c r="DJ62" i="174"/>
  <c r="DQ91" i="174"/>
  <c r="DJ91" i="174" s="1"/>
  <c r="CN127" i="174"/>
  <c r="CM127" i="174" s="1"/>
  <c r="DI127" i="174" s="1"/>
  <c r="AU207" i="175"/>
  <c r="BQ207" i="175" s="1"/>
  <c r="I201" i="175"/>
  <c r="I205" i="175" s="1"/>
  <c r="I207" i="175" s="1"/>
  <c r="I34" i="175"/>
  <c r="I197" i="175" s="1"/>
  <c r="CM207" i="175"/>
  <c r="DI207" i="175" s="1"/>
  <c r="BR24" i="174"/>
  <c r="DP40" i="174"/>
  <c r="DL44" i="174"/>
  <c r="DJ85" i="174"/>
  <c r="BW104" i="174"/>
  <c r="BR88" i="174"/>
  <c r="DJ73" i="174"/>
  <c r="DJ23" i="174"/>
  <c r="DJ13" i="174"/>
  <c r="DJ10" i="174"/>
  <c r="CM66" i="174"/>
  <c r="DI66" i="174" s="1"/>
  <c r="CM55" i="174"/>
  <c r="DI55" i="174" s="1"/>
  <c r="BR55" i="174"/>
  <c r="DA197" i="174"/>
  <c r="AY205" i="174"/>
  <c r="AY207" i="174" s="1"/>
  <c r="AY208" i="174" s="1"/>
  <c r="DJ46" i="174"/>
  <c r="AU126" i="174"/>
  <c r="BQ126" i="174" s="1"/>
  <c r="DJ111" i="174"/>
  <c r="DJ118" i="174"/>
  <c r="BV135" i="174"/>
  <c r="AV135" i="174"/>
  <c r="AU135" i="174" s="1"/>
  <c r="BQ135" i="174" s="1"/>
  <c r="DZ170" i="174"/>
  <c r="DZ200" i="174" s="1"/>
  <c r="BM129" i="174"/>
  <c r="BM197" i="174" s="1"/>
  <c r="AV115" i="174"/>
  <c r="AV162" i="174"/>
  <c r="AU162" i="174" s="1"/>
  <c r="BQ162" i="174" s="1"/>
  <c r="AV35" i="174"/>
  <c r="AU35" i="174" s="1"/>
  <c r="BQ35" i="174" s="1"/>
  <c r="BP201" i="174"/>
  <c r="AV43" i="174"/>
  <c r="CN64" i="174"/>
  <c r="H64" i="174" s="1"/>
  <c r="DN90" i="174"/>
  <c r="DN104" i="174" s="1"/>
  <c r="CL103" i="174"/>
  <c r="BR103" i="174" s="1"/>
  <c r="AV4" i="174"/>
  <c r="AU4" i="174" s="1"/>
  <c r="BQ4" i="174" s="1"/>
  <c r="BP129" i="174"/>
  <c r="CL33" i="174"/>
  <c r="BW135" i="174"/>
  <c r="AV49" i="174"/>
  <c r="AU49" i="174" s="1"/>
  <c r="BQ49" i="174" s="1"/>
  <c r="BV60" i="174"/>
  <c r="DP11" i="174"/>
  <c r="DJ11" i="174" s="1"/>
  <c r="DX128" i="174"/>
  <c r="DJ128" i="174" s="1"/>
  <c r="DH104" i="174"/>
  <c r="DY127" i="174"/>
  <c r="BR43" i="174"/>
  <c r="CF65" i="174"/>
  <c r="BR65" i="174" s="1"/>
  <c r="AV153" i="174"/>
  <c r="H167" i="174"/>
  <c r="I167" i="174" s="1"/>
  <c r="DC129" i="174"/>
  <c r="AV44" i="174"/>
  <c r="AU44" i="174" s="1"/>
  <c r="BQ44" i="174" s="1"/>
  <c r="CN44" i="174"/>
  <c r="H44" i="174" s="1"/>
  <c r="I44" i="174" s="1"/>
  <c r="CL73" i="174"/>
  <c r="BR73" i="174" s="1"/>
  <c r="DP93" i="174"/>
  <c r="DJ93" i="174" s="1"/>
  <c r="H24" i="174"/>
  <c r="I24" i="174" s="1"/>
  <c r="CM24" i="174"/>
  <c r="DI24" i="174" s="1"/>
  <c r="CM188" i="174"/>
  <c r="DI188" i="174" s="1"/>
  <c r="H188" i="174"/>
  <c r="I188" i="174" s="1"/>
  <c r="DR202" i="174"/>
  <c r="DR205" i="174" s="1"/>
  <c r="DR207" i="174" s="1"/>
  <c r="DR67" i="174"/>
  <c r="DR197" i="174" s="1"/>
  <c r="CG25" i="174"/>
  <c r="BR25" i="174" s="1"/>
  <c r="AV45" i="174"/>
  <c r="AV48" i="174"/>
  <c r="AU48" i="174" s="1"/>
  <c r="BQ48" i="174" s="1"/>
  <c r="DN148" i="174"/>
  <c r="DJ148" i="174" s="1"/>
  <c r="DP24" i="174"/>
  <c r="DJ24" i="174" s="1"/>
  <c r="BT48" i="174"/>
  <c r="AZ67" i="174"/>
  <c r="DJ122" i="174"/>
  <c r="EA126" i="174"/>
  <c r="DJ126" i="174" s="1"/>
  <c r="DP188" i="174"/>
  <c r="DJ188" i="174" s="1"/>
  <c r="BO195" i="174"/>
  <c r="BO197" i="174" s="1"/>
  <c r="DP41" i="174"/>
  <c r="DJ41" i="174" s="1"/>
  <c r="BX41" i="174"/>
  <c r="BR41" i="174" s="1"/>
  <c r="DJ44" i="174"/>
  <c r="DP76" i="174"/>
  <c r="DJ76" i="174" s="1"/>
  <c r="CN101" i="174"/>
  <c r="H101" i="174" s="1"/>
  <c r="CR104" i="174"/>
  <c r="AV173" i="174"/>
  <c r="AU173" i="174" s="1"/>
  <c r="BQ173" i="174" s="1"/>
  <c r="AV178" i="174"/>
  <c r="DE205" i="174"/>
  <c r="AV18" i="174"/>
  <c r="AU18" i="174" s="1"/>
  <c r="BQ18" i="174" s="1"/>
  <c r="CN48" i="174"/>
  <c r="H48" i="174" s="1"/>
  <c r="I48" i="174" s="1"/>
  <c r="CN82" i="174"/>
  <c r="CM82" i="174" s="1"/>
  <c r="DI82" i="174" s="1"/>
  <c r="CN90" i="174"/>
  <c r="H90" i="174" s="1"/>
  <c r="I90" i="174" s="1"/>
  <c r="DJ101" i="174"/>
  <c r="ED86" i="174"/>
  <c r="DJ86" i="174" s="1"/>
  <c r="CK173" i="174"/>
  <c r="CK200" i="174" s="1"/>
  <c r="AU25" i="174"/>
  <c r="BQ25" i="174" s="1"/>
  <c r="CM86" i="174"/>
  <c r="DI86" i="174" s="1"/>
  <c r="H7" i="174"/>
  <c r="AU7" i="174"/>
  <c r="BQ7" i="174" s="1"/>
  <c r="BT203" i="174"/>
  <c r="DB203" i="174"/>
  <c r="DB34" i="174"/>
  <c r="CM38" i="174"/>
  <c r="DI38" i="174" s="1"/>
  <c r="H38" i="174"/>
  <c r="I38" i="174" s="1"/>
  <c r="AN201" i="174"/>
  <c r="DY17" i="174"/>
  <c r="DY201" i="174" s="1"/>
  <c r="Y17" i="174"/>
  <c r="BR4" i="174"/>
  <c r="CC203" i="174"/>
  <c r="CC34" i="174"/>
  <c r="DZ203" i="174"/>
  <c r="DZ34" i="174"/>
  <c r="BR8" i="174"/>
  <c r="DJ12" i="174"/>
  <c r="I15" i="174"/>
  <c r="DK201" i="174"/>
  <c r="CM23" i="174"/>
  <c r="DI23" i="174" s="1"/>
  <c r="DJ26" i="174"/>
  <c r="DJ28" i="174"/>
  <c r="CM29" i="174"/>
  <c r="DI29" i="174" s="1"/>
  <c r="DJ31" i="174"/>
  <c r="CF32" i="174"/>
  <c r="AV32" i="174"/>
  <c r="AU32" i="174" s="1"/>
  <c r="BQ32" i="174" s="1"/>
  <c r="DS34" i="174"/>
  <c r="AE202" i="174"/>
  <c r="BX35" i="174"/>
  <c r="Y35" i="174"/>
  <c r="AE67" i="174"/>
  <c r="DP35" i="174"/>
  <c r="Y36" i="174"/>
  <c r="DL36" i="174"/>
  <c r="DJ36" i="174" s="1"/>
  <c r="DQ45" i="174"/>
  <c r="BY45" i="174"/>
  <c r="BR45" i="174" s="1"/>
  <c r="H46" i="174"/>
  <c r="I46" i="174" s="1"/>
  <c r="CM46" i="174"/>
  <c r="DI46" i="174" s="1"/>
  <c r="DL48" i="174"/>
  <c r="CN50" i="174"/>
  <c r="DY50" i="174"/>
  <c r="DJ50" i="174" s="1"/>
  <c r="AU68" i="174"/>
  <c r="BQ68" i="174" s="1"/>
  <c r="BR78" i="174"/>
  <c r="BR92" i="174"/>
  <c r="CN4" i="174"/>
  <c r="DQ203" i="174"/>
  <c r="EA203" i="174"/>
  <c r="AV9" i="174"/>
  <c r="AU9" i="174" s="1"/>
  <c r="BQ9" i="174" s="1"/>
  <c r="DJ9" i="174"/>
  <c r="BR12" i="174"/>
  <c r="I13" i="174"/>
  <c r="CM13" i="174"/>
  <c r="DI13" i="174" s="1"/>
  <c r="BR14" i="174"/>
  <c r="DJ15" i="174"/>
  <c r="BS201" i="174"/>
  <c r="CG17" i="174"/>
  <c r="CG201" i="174" s="1"/>
  <c r="BT21" i="174"/>
  <c r="BR22" i="174"/>
  <c r="DJ29" i="174"/>
  <c r="CN30" i="174"/>
  <c r="CG32" i="174"/>
  <c r="BK34" i="174"/>
  <c r="AF202" i="174"/>
  <c r="AF67" i="174"/>
  <c r="DQ35" i="174"/>
  <c r="BY35" i="174"/>
  <c r="CN35" i="174"/>
  <c r="AN202" i="174"/>
  <c r="CG39" i="174"/>
  <c r="BR39" i="174" s="1"/>
  <c r="DY39" i="174"/>
  <c r="AN67" i="174"/>
  <c r="I40" i="174"/>
  <c r="CM40" i="174"/>
  <c r="DI40" i="174" s="1"/>
  <c r="DH202" i="174"/>
  <c r="DH67" i="174"/>
  <c r="DX47" i="174"/>
  <c r="AU50" i="174"/>
  <c r="BQ50" i="174" s="1"/>
  <c r="CN60" i="174"/>
  <c r="DN60" i="174"/>
  <c r="DJ66" i="174"/>
  <c r="AV71" i="174"/>
  <c r="BX71" i="174"/>
  <c r="CM72" i="174"/>
  <c r="DI72" i="174" s="1"/>
  <c r="DP98" i="174"/>
  <c r="DJ98" i="174" s="1"/>
  <c r="Y98" i="174"/>
  <c r="CM98" i="174" s="1"/>
  <c r="DI98" i="174" s="1"/>
  <c r="BX98" i="174"/>
  <c r="BR98" i="174" s="1"/>
  <c r="CI195" i="174"/>
  <c r="CE203" i="174"/>
  <c r="CE34" i="174"/>
  <c r="DZ204" i="174"/>
  <c r="DZ104" i="174"/>
  <c r="BV203" i="174"/>
  <c r="BV34" i="174"/>
  <c r="CM8" i="174"/>
  <c r="DI8" i="174" s="1"/>
  <c r="BV201" i="174"/>
  <c r="CN18" i="174"/>
  <c r="BX12" i="174"/>
  <c r="BC201" i="174"/>
  <c r="BC34" i="174"/>
  <c r="H31" i="174"/>
  <c r="I31" i="174" s="1"/>
  <c r="CM31" i="174"/>
  <c r="DI31" i="174" s="1"/>
  <c r="AO202" i="174"/>
  <c r="AO67" i="174"/>
  <c r="AO197" i="174" s="1"/>
  <c r="AO208" i="174" s="1"/>
  <c r="CH37" i="174"/>
  <c r="BR37" i="174" s="1"/>
  <c r="DW203" i="174"/>
  <c r="EB201" i="174"/>
  <c r="AU31" i="174"/>
  <c r="BQ31" i="174" s="1"/>
  <c r="BR33" i="174"/>
  <c r="H37" i="174"/>
  <c r="DC202" i="174"/>
  <c r="DC67" i="174"/>
  <c r="DB202" i="174"/>
  <c r="CN47" i="174"/>
  <c r="DB67" i="174"/>
  <c r="DP48" i="174"/>
  <c r="BX48" i="174"/>
  <c r="BD202" i="174"/>
  <c r="BD67" i="174"/>
  <c r="BD197" i="174" s="1"/>
  <c r="BZ48" i="174"/>
  <c r="I49" i="174"/>
  <c r="CJ202" i="174"/>
  <c r="CJ67" i="174"/>
  <c r="AU56" i="174"/>
  <c r="BQ56" i="174" s="1"/>
  <c r="I56" i="174"/>
  <c r="CM56" i="174"/>
  <c r="DI56" i="174" s="1"/>
  <c r="DP102" i="174"/>
  <c r="BX102" i="174"/>
  <c r="BR102" i="174" s="1"/>
  <c r="H102" i="174"/>
  <c r="I102" i="174" s="1"/>
  <c r="CM102" i="174"/>
  <c r="DI102" i="174" s="1"/>
  <c r="AW206" i="174"/>
  <c r="BS112" i="174"/>
  <c r="BR112" i="174" s="1"/>
  <c r="AW129" i="174"/>
  <c r="CM128" i="174"/>
  <c r="DI128" i="174" s="1"/>
  <c r="H128" i="174"/>
  <c r="I128" i="174" s="1"/>
  <c r="DJ147" i="174"/>
  <c r="CM151" i="174"/>
  <c r="DI151" i="174" s="1"/>
  <c r="H151" i="174"/>
  <c r="AE203" i="174"/>
  <c r="Y11" i="174"/>
  <c r="I11" i="174" s="1"/>
  <c r="BX11" i="174"/>
  <c r="AN203" i="174"/>
  <c r="CG16" i="174"/>
  <c r="AN34" i="174"/>
  <c r="Y16" i="174"/>
  <c r="DJ16" i="174"/>
  <c r="AE34" i="174"/>
  <c r="CM51" i="174"/>
  <c r="DI51" i="174" s="1"/>
  <c r="AU51" i="174"/>
  <c r="BQ51" i="174" s="1"/>
  <c r="ED61" i="174"/>
  <c r="CL61" i="174"/>
  <c r="BR61" i="174" s="1"/>
  <c r="Y61" i="174"/>
  <c r="BR69" i="174"/>
  <c r="H70" i="174"/>
  <c r="CM70" i="174"/>
  <c r="DI70" i="174" s="1"/>
  <c r="AU52" i="174"/>
  <c r="BQ52" i="174" s="1"/>
  <c r="ED53" i="174"/>
  <c r="DJ53" i="174" s="1"/>
  <c r="Y53" i="174"/>
  <c r="CL53" i="174"/>
  <c r="BR53" i="174" s="1"/>
  <c r="CF204" i="174"/>
  <c r="CF104" i="174"/>
  <c r="DT104" i="174"/>
  <c r="CL77" i="174"/>
  <c r="BR77" i="174" s="1"/>
  <c r="DK34" i="174"/>
  <c r="H5" i="174"/>
  <c r="CM5" i="174"/>
  <c r="DI5" i="174" s="1"/>
  <c r="AU8" i="174"/>
  <c r="BQ8" i="174" s="1"/>
  <c r="BB203" i="174"/>
  <c r="BB34" i="174"/>
  <c r="CT201" i="174"/>
  <c r="CN17" i="174"/>
  <c r="BR19" i="174"/>
  <c r="DJ27" i="174"/>
  <c r="AV30" i="174"/>
  <c r="AU30" i="174" s="1"/>
  <c r="BQ30" i="174" s="1"/>
  <c r="CF30" i="174"/>
  <c r="EB34" i="174"/>
  <c r="BR38" i="174"/>
  <c r="DP39" i="174"/>
  <c r="CN39" i="174"/>
  <c r="I83" i="174"/>
  <c r="BY34" i="174"/>
  <c r="AU5" i="174"/>
  <c r="BQ5" i="174" s="1"/>
  <c r="BR13" i="174"/>
  <c r="DY16" i="174"/>
  <c r="BR18" i="174"/>
  <c r="CT25" i="174"/>
  <c r="DY25" i="174"/>
  <c r="DJ30" i="174"/>
  <c r="AI208" i="174"/>
  <c r="DN34" i="174"/>
  <c r="DT34" i="174"/>
  <c r="DT197" i="174" s="1"/>
  <c r="DT208" i="174" s="1"/>
  <c r="CM9" i="174"/>
  <c r="DI9" i="174" s="1"/>
  <c r="AU21" i="174"/>
  <c r="BQ23" i="174" s="1"/>
  <c r="DL21" i="174"/>
  <c r="DJ21" i="174" s="1"/>
  <c r="CL22" i="174"/>
  <c r="BR27" i="174"/>
  <c r="CM28" i="174"/>
  <c r="DI28" i="174" s="1"/>
  <c r="DO34" i="174"/>
  <c r="DS202" i="174"/>
  <c r="CM42" i="174"/>
  <c r="DI42" i="174" s="1"/>
  <c r="H42" i="174"/>
  <c r="I42" i="174" s="1"/>
  <c r="DP43" i="174"/>
  <c r="DJ43" i="174" s="1"/>
  <c r="Y43" i="174"/>
  <c r="Y45" i="174"/>
  <c r="DL45" i="174"/>
  <c r="CN45" i="174"/>
  <c r="DL49" i="174"/>
  <c r="DJ49" i="174" s="1"/>
  <c r="BT49" i="174"/>
  <c r="CM49" i="174"/>
  <c r="DI49" i="174" s="1"/>
  <c r="DL60" i="174"/>
  <c r="Y60" i="174"/>
  <c r="BT60" i="174"/>
  <c r="DY65" i="174"/>
  <c r="DJ65" i="174" s="1"/>
  <c r="CN65" i="174"/>
  <c r="I68" i="174"/>
  <c r="CM68" i="174"/>
  <c r="DI68" i="174" s="1"/>
  <c r="H69" i="174"/>
  <c r="I69" i="174" s="1"/>
  <c r="CM69" i="174"/>
  <c r="DI69" i="174" s="1"/>
  <c r="BK204" i="174"/>
  <c r="CG70" i="174"/>
  <c r="BK104" i="174"/>
  <c r="CL85" i="174"/>
  <c r="BR85" i="174" s="1"/>
  <c r="DO204" i="174"/>
  <c r="DO104" i="174"/>
  <c r="CS199" i="174"/>
  <c r="CS205" i="174" s="1"/>
  <c r="CS207" i="174" s="1"/>
  <c r="CS195" i="174"/>
  <c r="CS197" i="174" s="1"/>
  <c r="DO135" i="174"/>
  <c r="DO195" i="174" s="1"/>
  <c r="DX195" i="174"/>
  <c r="BT201" i="174"/>
  <c r="CM20" i="174"/>
  <c r="DI20" i="174" s="1"/>
  <c r="AU20" i="174"/>
  <c r="BQ20" i="174" s="1"/>
  <c r="I20" i="174"/>
  <c r="CM27" i="174"/>
  <c r="DI27" i="174" s="1"/>
  <c r="CA34" i="174"/>
  <c r="CR202" i="174"/>
  <c r="DN35" i="174"/>
  <c r="BC202" i="174"/>
  <c r="BC67" i="174"/>
  <c r="DJ61" i="174"/>
  <c r="DJ68" i="174"/>
  <c r="CN71" i="174"/>
  <c r="DY71" i="174"/>
  <c r="DS206" i="174"/>
  <c r="DS129" i="174"/>
  <c r="BR9" i="174"/>
  <c r="AS203" i="174"/>
  <c r="CL10" i="174"/>
  <c r="BR10" i="174" s="1"/>
  <c r="AS34" i="174"/>
  <c r="CI201" i="174"/>
  <c r="DQ20" i="174"/>
  <c r="DJ20" i="174" s="1"/>
  <c r="BY20" i="174"/>
  <c r="BR20" i="174" s="1"/>
  <c r="CH23" i="174"/>
  <c r="CH203" i="174" s="1"/>
  <c r="AV23" i="174"/>
  <c r="CE202" i="174"/>
  <c r="CE67" i="174"/>
  <c r="DL37" i="174"/>
  <c r="DJ37" i="174" s="1"/>
  <c r="Y37" i="174"/>
  <c r="DZ54" i="174"/>
  <c r="DJ54" i="174" s="1"/>
  <c r="CN54" i="174"/>
  <c r="H106" i="174"/>
  <c r="CM106" i="174"/>
  <c r="DI106" i="174" s="1"/>
  <c r="H155" i="174"/>
  <c r="I155" i="174" s="1"/>
  <c r="CM155" i="174"/>
  <c r="DI155" i="174" s="1"/>
  <c r="I5" i="174"/>
  <c r="DX7" i="174"/>
  <c r="DJ7" i="174" s="1"/>
  <c r="AU10" i="174"/>
  <c r="BQ10" i="174" s="1"/>
  <c r="AS201" i="174"/>
  <c r="CL17" i="174"/>
  <c r="DP17" i="174"/>
  <c r="DP201" i="174" s="1"/>
  <c r="DD203" i="174"/>
  <c r="CN22" i="174"/>
  <c r="DD34" i="174"/>
  <c r="AU27" i="174"/>
  <c r="BQ27" i="174" s="1"/>
  <c r="AU53" i="174"/>
  <c r="BQ53" i="174" s="1"/>
  <c r="H59" i="174"/>
  <c r="CM59" i="174"/>
  <c r="DI59" i="174" s="1"/>
  <c r="DJ71" i="174"/>
  <c r="BR87" i="174"/>
  <c r="DE206" i="174"/>
  <c r="DE129" i="174"/>
  <c r="DE197" i="174" s="1"/>
  <c r="EA106" i="174"/>
  <c r="DJ106" i="174" s="1"/>
  <c r="DN136" i="174"/>
  <c r="DJ136" i="174" s="1"/>
  <c r="BV136" i="174"/>
  <c r="BR136" i="174" s="1"/>
  <c r="Y136" i="174"/>
  <c r="DW34" i="174"/>
  <c r="BR16" i="174"/>
  <c r="DY20" i="174"/>
  <c r="CK203" i="174"/>
  <c r="CK34" i="174"/>
  <c r="BF197" i="174"/>
  <c r="BF208" i="174" s="1"/>
  <c r="EC197" i="174"/>
  <c r="DX4" i="174"/>
  <c r="DJ4" i="174" s="1"/>
  <c r="BP34" i="174"/>
  <c r="DS201" i="174"/>
  <c r="DJ8" i="174"/>
  <c r="DH203" i="174"/>
  <c r="CN10" i="174"/>
  <c r="DJ14" i="174"/>
  <c r="H15" i="174"/>
  <c r="CE201" i="174"/>
  <c r="DT201" i="174"/>
  <c r="AV22" i="174"/>
  <c r="AU22" i="174" s="1"/>
  <c r="ED22" i="174"/>
  <c r="DJ22" i="174" s="1"/>
  <c r="CF31" i="174"/>
  <c r="BR31" i="174" s="1"/>
  <c r="DC32" i="174"/>
  <c r="DC203" i="174" s="1"/>
  <c r="DX32" i="174"/>
  <c r="BU202" i="174"/>
  <c r="BU205" i="174" s="1"/>
  <c r="BU207" i="174" s="1"/>
  <c r="BU67" i="174"/>
  <c r="BU197" i="174" s="1"/>
  <c r="DT202" i="174"/>
  <c r="DT67" i="174"/>
  <c r="CI67" i="174"/>
  <c r="DJ38" i="174"/>
  <c r="CF48" i="174"/>
  <c r="AM67" i="174"/>
  <c r="AM197" i="174" s="1"/>
  <c r="DX48" i="174"/>
  <c r="AX67" i="174"/>
  <c r="AX197" i="174" s="1"/>
  <c r="AV54" i="174"/>
  <c r="AU54" i="174" s="1"/>
  <c r="BQ54" i="174" s="1"/>
  <c r="ED59" i="174"/>
  <c r="DJ59" i="174" s="1"/>
  <c r="Y59" i="174"/>
  <c r="CL59" i="174"/>
  <c r="BR59" i="174" s="1"/>
  <c r="AV62" i="174"/>
  <c r="AU62" i="174" s="1"/>
  <c r="BQ62" i="174" s="1"/>
  <c r="CR67" i="174"/>
  <c r="CL72" i="174"/>
  <c r="BR72" i="174" s="1"/>
  <c r="ED72" i="174"/>
  <c r="DJ72" i="174" s="1"/>
  <c r="AU74" i="174"/>
  <c r="BQ74" i="174" s="1"/>
  <c r="AU75" i="174"/>
  <c r="BQ75" i="174" s="1"/>
  <c r="CN84" i="174"/>
  <c r="DQ84" i="174"/>
  <c r="DJ84" i="174" s="1"/>
  <c r="AU87" i="174"/>
  <c r="BQ87" i="174" s="1"/>
  <c r="H98" i="174"/>
  <c r="AO206" i="174"/>
  <c r="CH124" i="174"/>
  <c r="CH129" i="174" s="1"/>
  <c r="DZ124" i="174"/>
  <c r="DJ124" i="174" s="1"/>
  <c r="Y124" i="174"/>
  <c r="AO129" i="174"/>
  <c r="CM107" i="174"/>
  <c r="DI107" i="174" s="1"/>
  <c r="H107" i="174"/>
  <c r="I107" i="174" s="1"/>
  <c r="AU130" i="174"/>
  <c r="BQ130" i="174" s="1"/>
  <c r="DN141" i="174"/>
  <c r="DJ141" i="174" s="1"/>
  <c r="BV141" i="174"/>
  <c r="BR141" i="174" s="1"/>
  <c r="BS203" i="174"/>
  <c r="CD203" i="174"/>
  <c r="DO203" i="174"/>
  <c r="CF201" i="174"/>
  <c r="EA201" i="174"/>
  <c r="DQ18" i="174"/>
  <c r="DQ201" i="174" s="1"/>
  <c r="DL19" i="174"/>
  <c r="DJ19" i="174" s="1"/>
  <c r="AF34" i="174"/>
  <c r="AW197" i="174"/>
  <c r="AC202" i="174"/>
  <c r="AC67" i="174"/>
  <c r="BS202" i="174"/>
  <c r="BS67" i="174"/>
  <c r="CT67" i="174"/>
  <c r="DJ40" i="174"/>
  <c r="BP202" i="174"/>
  <c r="AV46" i="174"/>
  <c r="AU46" i="174" s="1"/>
  <c r="BQ46" i="174" s="1"/>
  <c r="BJ202" i="174"/>
  <c r="BJ67" i="174"/>
  <c r="DQ48" i="174"/>
  <c r="BR50" i="174"/>
  <c r="BR51" i="174"/>
  <c r="CL58" i="174"/>
  <c r="BR63" i="174"/>
  <c r="DX204" i="174"/>
  <c r="DX104" i="174"/>
  <c r="BB204" i="174"/>
  <c r="BB104" i="174"/>
  <c r="AV69" i="174"/>
  <c r="AU69" i="174" s="1"/>
  <c r="BQ69" i="174" s="1"/>
  <c r="H72" i="174"/>
  <c r="I72" i="174" s="1"/>
  <c r="AF204" i="174"/>
  <c r="DQ74" i="174"/>
  <c r="DJ74" i="174" s="1"/>
  <c r="AF104" i="174"/>
  <c r="DP75" i="174"/>
  <c r="DJ75" i="174" s="1"/>
  <c r="CN75" i="174"/>
  <c r="AV76" i="174"/>
  <c r="AU76" i="174" s="1"/>
  <c r="BQ76" i="174" s="1"/>
  <c r="BX76" i="174"/>
  <c r="BR76" i="174" s="1"/>
  <c r="CM76" i="174"/>
  <c r="DI76" i="174" s="1"/>
  <c r="H76" i="174"/>
  <c r="I76" i="174" s="1"/>
  <c r="ED82" i="174"/>
  <c r="DJ82" i="174" s="1"/>
  <c r="BR84" i="174"/>
  <c r="I96" i="174"/>
  <c r="AU96" i="174"/>
  <c r="BQ96" i="174" s="1"/>
  <c r="CG101" i="174"/>
  <c r="AV101" i="174"/>
  <c r="DN102" i="174"/>
  <c r="DJ102" i="174" s="1"/>
  <c r="BV102" i="174"/>
  <c r="ED103" i="174"/>
  <c r="DJ103" i="174" s="1"/>
  <c r="CN103" i="174"/>
  <c r="EB206" i="174"/>
  <c r="EB129" i="174"/>
  <c r="BY129" i="174"/>
  <c r="BR127" i="174"/>
  <c r="CM173" i="174"/>
  <c r="DI173" i="174" s="1"/>
  <c r="H173" i="174"/>
  <c r="Y175" i="174"/>
  <c r="BV175" i="174"/>
  <c r="BR175" i="174" s="1"/>
  <c r="DN175" i="174"/>
  <c r="DJ175" i="174" s="1"/>
  <c r="CM186" i="174"/>
  <c r="DI186" i="174" s="1"/>
  <c r="I186" i="174"/>
  <c r="CT202" i="174"/>
  <c r="BR56" i="174"/>
  <c r="CB199" i="174"/>
  <c r="H132" i="174"/>
  <c r="CM190" i="174"/>
  <c r="DI190" i="174" s="1"/>
  <c r="H190" i="174"/>
  <c r="AV17" i="174"/>
  <c r="AU17" i="174" s="1"/>
  <c r="BQ17" i="174" s="1"/>
  <c r="BX201" i="174"/>
  <c r="DW201" i="174"/>
  <c r="BY21" i="174"/>
  <c r="CG23" i="174"/>
  <c r="BR23" i="174" s="1"/>
  <c r="AU29" i="174"/>
  <c r="BQ29" i="174" s="1"/>
  <c r="BL34" i="174"/>
  <c r="DU197" i="174"/>
  <c r="DU208" i="174" s="1"/>
  <c r="AX202" i="174"/>
  <c r="AX205" i="174" s="1"/>
  <c r="AX207" i="174" s="1"/>
  <c r="AV37" i="174"/>
  <c r="Y47" i="174"/>
  <c r="DA202" i="174"/>
  <c r="DA205" i="174" s="1"/>
  <c r="DA207" i="174" s="1"/>
  <c r="CN52" i="174"/>
  <c r="BR57" i="174"/>
  <c r="DN58" i="174"/>
  <c r="DJ58" i="174" s="1"/>
  <c r="BX60" i="174"/>
  <c r="DP60" i="174"/>
  <c r="ED64" i="174"/>
  <c r="DJ64" i="174" s="1"/>
  <c r="Y64" i="174"/>
  <c r="CL64" i="174"/>
  <c r="BR64" i="174" s="1"/>
  <c r="BR66" i="174"/>
  <c r="BP67" i="174"/>
  <c r="CA204" i="174"/>
  <c r="CA104" i="174"/>
  <c r="CI203" i="174"/>
  <c r="CI104" i="174"/>
  <c r="DS204" i="174"/>
  <c r="DS104" i="174"/>
  <c r="EB204" i="174"/>
  <c r="EB104" i="174"/>
  <c r="Y73" i="174"/>
  <c r="AU73" i="174" s="1"/>
  <c r="BQ73" i="174" s="1"/>
  <c r="DJ81" i="174"/>
  <c r="BY83" i="174"/>
  <c r="AV83" i="174"/>
  <c r="AU83" i="174" s="1"/>
  <c r="BQ83" i="174" s="1"/>
  <c r="CL86" i="174"/>
  <c r="BR86" i="174" s="1"/>
  <c r="AV86" i="174"/>
  <c r="AU86" i="174" s="1"/>
  <c r="BQ86" i="174" s="1"/>
  <c r="CM93" i="174"/>
  <c r="DI93" i="174" s="1"/>
  <c r="BR96" i="174"/>
  <c r="AV106" i="174"/>
  <c r="CE206" i="174"/>
  <c r="CE129" i="174"/>
  <c r="CK199" i="174"/>
  <c r="DN143" i="174"/>
  <c r="DJ143" i="174" s="1"/>
  <c r="Y143" i="174"/>
  <c r="BV143" i="174"/>
  <c r="BR143" i="174" s="1"/>
  <c r="AN195" i="174"/>
  <c r="AN199" i="174"/>
  <c r="DY147" i="174"/>
  <c r="DY199" i="174" s="1"/>
  <c r="CG147" i="174"/>
  <c r="H148" i="174"/>
  <c r="I148" i="174" s="1"/>
  <c r="CM148" i="174"/>
  <c r="DI148" i="174" s="1"/>
  <c r="Y149" i="174"/>
  <c r="BV149" i="174"/>
  <c r="BR149" i="174" s="1"/>
  <c r="DN149" i="174"/>
  <c r="DJ149" i="174" s="1"/>
  <c r="DJ160" i="174"/>
  <c r="AU161" i="174"/>
  <c r="BQ161" i="174" s="1"/>
  <c r="BY163" i="174"/>
  <c r="DQ163" i="174"/>
  <c r="CM187" i="174"/>
  <c r="DI187" i="174" s="1"/>
  <c r="H187" i="174"/>
  <c r="I187" i="174" s="1"/>
  <c r="Y191" i="174"/>
  <c r="I191" i="174" s="1"/>
  <c r="DP191" i="174"/>
  <c r="BX191" i="174"/>
  <c r="BR191" i="174" s="1"/>
  <c r="BX42" i="174"/>
  <c r="BR42" i="174" s="1"/>
  <c r="DP42" i="174"/>
  <c r="DJ42" i="174" s="1"/>
  <c r="AU72" i="174"/>
  <c r="BQ72" i="174" s="1"/>
  <c r="BR82" i="174"/>
  <c r="AL204" i="174"/>
  <c r="DW87" i="174"/>
  <c r="DW204" i="174" s="1"/>
  <c r="Y87" i="174"/>
  <c r="CE87" i="174"/>
  <c r="CE104" i="174" s="1"/>
  <c r="AL104" i="174"/>
  <c r="I88" i="174"/>
  <c r="CM89" i="174"/>
  <c r="DI89" i="174" s="1"/>
  <c r="CD206" i="174"/>
  <c r="CD129" i="174"/>
  <c r="H118" i="174"/>
  <c r="I118" i="174" s="1"/>
  <c r="CM118" i="174"/>
  <c r="DI118" i="174" s="1"/>
  <c r="CG190" i="174"/>
  <c r="BR190" i="174" s="1"/>
  <c r="AV190" i="174"/>
  <c r="AU190" i="174" s="1"/>
  <c r="BQ190" i="174" s="1"/>
  <c r="BY203" i="174"/>
  <c r="DT203" i="174"/>
  <c r="BJ203" i="174"/>
  <c r="BJ34" i="174"/>
  <c r="CA203" i="174"/>
  <c r="CI202" i="174"/>
  <c r="DK203" i="174"/>
  <c r="DV203" i="174"/>
  <c r="Y7" i="174"/>
  <c r="Y34" i="174" s="1"/>
  <c r="BP203" i="174"/>
  <c r="BB201" i="174"/>
  <c r="BY201" i="174"/>
  <c r="DN201" i="174"/>
  <c r="DX201" i="174"/>
  <c r="Y23" i="174"/>
  <c r="I23" i="174" s="1"/>
  <c r="CD34" i="174"/>
  <c r="DV34" i="174"/>
  <c r="EA202" i="174"/>
  <c r="I41" i="174"/>
  <c r="BY44" i="174"/>
  <c r="BR44" i="174" s="1"/>
  <c r="CU202" i="174"/>
  <c r="CU67" i="174"/>
  <c r="CV202" i="174"/>
  <c r="CV205" i="174" s="1"/>
  <c r="CV207" i="174" s="1"/>
  <c r="CV67" i="174"/>
  <c r="CV197" i="174" s="1"/>
  <c r="ED51" i="174"/>
  <c r="DJ51" i="174" s="1"/>
  <c r="DW52" i="174"/>
  <c r="DW202" i="174" s="1"/>
  <c r="BI202" i="174"/>
  <c r="AV55" i="174"/>
  <c r="AU55" i="174" s="1"/>
  <c r="BQ55" i="174" s="1"/>
  <c r="BI67" i="174"/>
  <c r="AV63" i="174"/>
  <c r="AU63" i="174" s="1"/>
  <c r="BQ63" i="174" s="1"/>
  <c r="AV64" i="174"/>
  <c r="AU64" i="174" s="1"/>
  <c r="BQ64" i="174" s="1"/>
  <c r="BX70" i="174"/>
  <c r="BR70" i="174" s="1"/>
  <c r="Y70" i="174"/>
  <c r="DP70" i="174"/>
  <c r="ED71" i="174"/>
  <c r="Y71" i="174"/>
  <c r="CL71" i="174"/>
  <c r="BR74" i="174"/>
  <c r="AU78" i="174"/>
  <c r="BQ78" i="174" s="1"/>
  <c r="Y80" i="174"/>
  <c r="I80" i="174" s="1"/>
  <c r="ED80" i="174"/>
  <c r="DJ80" i="174" s="1"/>
  <c r="CL80" i="174"/>
  <c r="BR80" i="174" s="1"/>
  <c r="CM80" i="174"/>
  <c r="DI80" i="174" s="1"/>
  <c r="BR83" i="174"/>
  <c r="BI204" i="174"/>
  <c r="BI104" i="174"/>
  <c r="BX93" i="174"/>
  <c r="BR93" i="174" s="1"/>
  <c r="AV93" i="174"/>
  <c r="AU93" i="174" s="1"/>
  <c r="BQ93" i="174" s="1"/>
  <c r="DJ96" i="174"/>
  <c r="BV101" i="174"/>
  <c r="BV204" i="174" s="1"/>
  <c r="Y101" i="174"/>
  <c r="AE104" i="174"/>
  <c r="BM206" i="174"/>
  <c r="CI106" i="174"/>
  <c r="BW203" i="174"/>
  <c r="BR130" i="174"/>
  <c r="CF195" i="174"/>
  <c r="DJ131" i="174"/>
  <c r="CM140" i="174"/>
  <c r="DI140" i="174" s="1"/>
  <c r="H140" i="174"/>
  <c r="AU147" i="174"/>
  <c r="BQ147" i="174" s="1"/>
  <c r="BR52" i="174"/>
  <c r="CK202" i="174"/>
  <c r="CK67" i="174"/>
  <c r="CH204" i="174"/>
  <c r="CM74" i="174"/>
  <c r="DI74" i="174" s="1"/>
  <c r="H74" i="174"/>
  <c r="I74" i="174" s="1"/>
  <c r="CB203" i="174"/>
  <c r="DL203" i="174"/>
  <c r="CD201" i="174"/>
  <c r="DO201" i="174"/>
  <c r="AF201" i="174"/>
  <c r="AA201" i="174"/>
  <c r="BL203" i="174"/>
  <c r="BK203" i="174"/>
  <c r="G197" i="174"/>
  <c r="CW197" i="174"/>
  <c r="BB67" i="174"/>
  <c r="BB202" i="174"/>
  <c r="CD202" i="174"/>
  <c r="CD67" i="174"/>
  <c r="CQ202" i="174"/>
  <c r="CQ205" i="174" s="1"/>
  <c r="CQ207" i="174" s="1"/>
  <c r="CQ208" i="174" s="1"/>
  <c r="DM35" i="174"/>
  <c r="EB202" i="174"/>
  <c r="BL202" i="174"/>
  <c r="BL67" i="174"/>
  <c r="BK67" i="174"/>
  <c r="BK202" i="174"/>
  <c r="AS202" i="174"/>
  <c r="AS67" i="174"/>
  <c r="CL46" i="174"/>
  <c r="BR46" i="174" s="1"/>
  <c r="AM202" i="174"/>
  <c r="CF47" i="174"/>
  <c r="BR47" i="174" s="1"/>
  <c r="CH48" i="174"/>
  <c r="CW202" i="174"/>
  <c r="DS48" i="174"/>
  <c r="DS67" i="174" s="1"/>
  <c r="BT54" i="174"/>
  <c r="BR54" i="174" s="1"/>
  <c r="I58" i="174"/>
  <c r="CM58" i="174"/>
  <c r="DI58" i="174" s="1"/>
  <c r="BV58" i="174"/>
  <c r="BR62" i="174"/>
  <c r="DJ63" i="174"/>
  <c r="EA67" i="174"/>
  <c r="BP204" i="174"/>
  <c r="BP104" i="174"/>
  <c r="AV70" i="174"/>
  <c r="AU70" i="174" s="1"/>
  <c r="BQ70" i="174" s="1"/>
  <c r="EA104" i="174"/>
  <c r="CM73" i="174"/>
  <c r="DI73" i="174" s="1"/>
  <c r="H73" i="174"/>
  <c r="DJ77" i="174"/>
  <c r="AU80" i="174"/>
  <c r="BQ80" i="174" s="1"/>
  <c r="CM88" i="174"/>
  <c r="DI88" i="174" s="1"/>
  <c r="CM97" i="174"/>
  <c r="DI97" i="174" s="1"/>
  <c r="AU97" i="174"/>
  <c r="BQ97" i="174" s="1"/>
  <c r="DJ130" i="174"/>
  <c r="CA195" i="174"/>
  <c r="Y141" i="174"/>
  <c r="CM143" i="174"/>
  <c r="DI143" i="174" s="1"/>
  <c r="H143" i="174"/>
  <c r="I151" i="174"/>
  <c r="BV167" i="174"/>
  <c r="BR167" i="174" s="1"/>
  <c r="AV167" i="174"/>
  <c r="AU167" i="174" s="1"/>
  <c r="BQ167" i="174" s="1"/>
  <c r="BX185" i="174"/>
  <c r="AV185" i="174"/>
  <c r="AU185" i="174" s="1"/>
  <c r="BQ185" i="174" s="1"/>
  <c r="DD201" i="174"/>
  <c r="DZ192" i="174"/>
  <c r="DZ201" i="174" s="1"/>
  <c r="CN192" i="174"/>
  <c r="AA202" i="174"/>
  <c r="CB202" i="174"/>
  <c r="CC202" i="174"/>
  <c r="AL67" i="174"/>
  <c r="AL197" i="174" s="1"/>
  <c r="AL208" i="174" s="1"/>
  <c r="BE67" i="174"/>
  <c r="BE197" i="174" s="1"/>
  <c r="BN67" i="174"/>
  <c r="BN197" i="174" s="1"/>
  <c r="BN208" i="174" s="1"/>
  <c r="CL68" i="174"/>
  <c r="AS204" i="174"/>
  <c r="AS104" i="174"/>
  <c r="CG204" i="174"/>
  <c r="AE204" i="174"/>
  <c r="BX69" i="174"/>
  <c r="DP69" i="174"/>
  <c r="BC204" i="174"/>
  <c r="CM78" i="174"/>
  <c r="DI78" i="174" s="1"/>
  <c r="H78" i="174"/>
  <c r="I78" i="174" s="1"/>
  <c r="DQ78" i="174"/>
  <c r="I85" i="174"/>
  <c r="DJ89" i="174"/>
  <c r="AZ204" i="174"/>
  <c r="AZ104" i="174"/>
  <c r="AV90" i="174"/>
  <c r="AU90" i="174" s="1"/>
  <c r="BQ90" i="174" s="1"/>
  <c r="AU95" i="174"/>
  <c r="BQ95" i="174" s="1"/>
  <c r="BR97" i="174"/>
  <c r="AU103" i="174"/>
  <c r="BQ103" i="174" s="1"/>
  <c r="AA206" i="174"/>
  <c r="AA129" i="174"/>
  <c r="DL106" i="174"/>
  <c r="BT106" i="174"/>
  <c r="Y106" i="174"/>
  <c r="BY206" i="174"/>
  <c r="DQ206" i="174"/>
  <c r="DQ129" i="174"/>
  <c r="BR108" i="174"/>
  <c r="CC206" i="174"/>
  <c r="CC129" i="174"/>
  <c r="DH206" i="174"/>
  <c r="CN109" i="174"/>
  <c r="DH129" i="174"/>
  <c r="BJ206" i="174"/>
  <c r="CF111" i="174"/>
  <c r="BR111" i="174" s="1"/>
  <c r="BJ129" i="174"/>
  <c r="AU131" i="174"/>
  <c r="BQ131" i="174" s="1"/>
  <c r="CC199" i="174"/>
  <c r="CC205" i="174" s="1"/>
  <c r="CC207" i="174" s="1"/>
  <c r="DO200" i="174"/>
  <c r="Y159" i="174"/>
  <c r="DY190" i="174"/>
  <c r="DJ190" i="174" s="1"/>
  <c r="CB67" i="174"/>
  <c r="CB197" i="174" s="1"/>
  <c r="CC204" i="174"/>
  <c r="DT204" i="174"/>
  <c r="CT204" i="174"/>
  <c r="DC204" i="174"/>
  <c r="DY70" i="174"/>
  <c r="DY104" i="174" s="1"/>
  <c r="AA204" i="174"/>
  <c r="AA104" i="174"/>
  <c r="DL78" i="174"/>
  <c r="AU102" i="174"/>
  <c r="BQ102" i="174" s="1"/>
  <c r="CC104" i="174"/>
  <c r="AV107" i="174"/>
  <c r="AU107" i="174" s="1"/>
  <c r="BQ107" i="174" s="1"/>
  <c r="CI107" i="174"/>
  <c r="CN108" i="174"/>
  <c r="EA108" i="174"/>
  <c r="DV129" i="174"/>
  <c r="AU109" i="174"/>
  <c r="BQ109" i="174" s="1"/>
  <c r="CM112" i="174"/>
  <c r="DI112" i="174" s="1"/>
  <c r="H112" i="174"/>
  <c r="I112" i="174" s="1"/>
  <c r="BK206" i="174"/>
  <c r="BK129" i="174"/>
  <c r="AV113" i="174"/>
  <c r="AU113" i="174" s="1"/>
  <c r="BQ113" i="174" s="1"/>
  <c r="CG113" i="174"/>
  <c r="CG206" i="174" s="1"/>
  <c r="Y115" i="174"/>
  <c r="CL115" i="174"/>
  <c r="BR115" i="174" s="1"/>
  <c r="ED115" i="174"/>
  <c r="ED206" i="174" s="1"/>
  <c r="DS195" i="174"/>
  <c r="EB195" i="174"/>
  <c r="BL195" i="174"/>
  <c r="BL199" i="174"/>
  <c r="CH134" i="174"/>
  <c r="DJ137" i="174"/>
  <c r="I140" i="174"/>
  <c r="CB200" i="174"/>
  <c r="CC67" i="174"/>
  <c r="BS204" i="174"/>
  <c r="BS104" i="174"/>
  <c r="CD204" i="174"/>
  <c r="CD104" i="174"/>
  <c r="DH204" i="174"/>
  <c r="DV204" i="174"/>
  <c r="DV104" i="174"/>
  <c r="CJ204" i="174"/>
  <c r="CJ104" i="174"/>
  <c r="CJ197" i="174" s="1"/>
  <c r="DM204" i="174"/>
  <c r="DJ79" i="174"/>
  <c r="BR81" i="174"/>
  <c r="CM81" i="174"/>
  <c r="DI81" i="174" s="1"/>
  <c r="H81" i="174"/>
  <c r="I81" i="174" s="1"/>
  <c r="I86" i="174"/>
  <c r="AU88" i="174"/>
  <c r="BQ88" i="174" s="1"/>
  <c r="BX89" i="174"/>
  <c r="BR89" i="174" s="1"/>
  <c r="AV89" i="174"/>
  <c r="AU89" i="174" s="1"/>
  <c r="BQ89" i="174" s="1"/>
  <c r="BY91" i="174"/>
  <c r="BR91" i="174" s="1"/>
  <c r="CM92" i="174"/>
  <c r="DI92" i="174" s="1"/>
  <c r="H92" i="174"/>
  <c r="I92" i="174" s="1"/>
  <c r="DJ99" i="174"/>
  <c r="DC104" i="174"/>
  <c r="AS129" i="174"/>
  <c r="CL109" i="174"/>
  <c r="CO206" i="174"/>
  <c r="DK112" i="174"/>
  <c r="DJ112" i="174" s="1"/>
  <c r="I114" i="174"/>
  <c r="CM114" i="174"/>
  <c r="DI114" i="174" s="1"/>
  <c r="DB206" i="174"/>
  <c r="CN115" i="174"/>
  <c r="DB129" i="174"/>
  <c r="DX115" i="174"/>
  <c r="BL206" i="174"/>
  <c r="BL129" i="174"/>
  <c r="CO129" i="174"/>
  <c r="CO197" i="174" s="1"/>
  <c r="CB195" i="174"/>
  <c r="DT199" i="174"/>
  <c r="DT205" i="174" s="1"/>
  <c r="DT207" i="174" s="1"/>
  <c r="DJ133" i="174"/>
  <c r="BR144" i="174"/>
  <c r="DN146" i="174"/>
  <c r="DJ146" i="174" s="1"/>
  <c r="BV146" i="174"/>
  <c r="BR146" i="174" s="1"/>
  <c r="AS199" i="174"/>
  <c r="AS205" i="174" s="1"/>
  <c r="AS207" i="174" s="1"/>
  <c r="CL150" i="174"/>
  <c r="CL199" i="174" s="1"/>
  <c r="AS195" i="174"/>
  <c r="Y150" i="174"/>
  <c r="DQ166" i="174"/>
  <c r="BY166" i="174"/>
  <c r="BR166" i="174" s="1"/>
  <c r="CL171" i="174"/>
  <c r="ED171" i="174"/>
  <c r="DJ171" i="174"/>
  <c r="CJ199" i="174"/>
  <c r="AB197" i="174"/>
  <c r="AB208" i="174" s="1"/>
  <c r="CY197" i="174"/>
  <c r="CY208" i="174" s="1"/>
  <c r="AZ202" i="174"/>
  <c r="DV202" i="174"/>
  <c r="DV67" i="174"/>
  <c r="CP202" i="174"/>
  <c r="CP205" i="174" s="1"/>
  <c r="CP207" i="174" s="1"/>
  <c r="CP67" i="174"/>
  <c r="CP197" i="174" s="1"/>
  <c r="DD202" i="174"/>
  <c r="CA202" i="174"/>
  <c r="DF202" i="174"/>
  <c r="DF205" i="174" s="1"/>
  <c r="DF207" i="174" s="1"/>
  <c r="DF67" i="174"/>
  <c r="DF197" i="174" s="1"/>
  <c r="AA67" i="174"/>
  <c r="AA197" i="174" s="1"/>
  <c r="AA208" i="174" s="1"/>
  <c r="DD67" i="174"/>
  <c r="BT204" i="174"/>
  <c r="CE204" i="174"/>
  <c r="I77" i="174"/>
  <c r="Y95" i="174"/>
  <c r="DL95" i="174"/>
  <c r="DJ95" i="174" s="1"/>
  <c r="BT104" i="174"/>
  <c r="CT104" i="174"/>
  <c r="BV206" i="174"/>
  <c r="BV129" i="174"/>
  <c r="BR107" i="174"/>
  <c r="DP129" i="174"/>
  <c r="AV118" i="174"/>
  <c r="AU118" i="174" s="1"/>
  <c r="BQ118" i="174" s="1"/>
  <c r="CF118" i="174"/>
  <c r="BR118" i="174" s="1"/>
  <c r="BR126" i="174"/>
  <c r="DW195" i="174"/>
  <c r="AE199" i="174"/>
  <c r="AE195" i="174"/>
  <c r="DP132" i="174"/>
  <c r="DP199" i="174" s="1"/>
  <c r="BX132" i="174"/>
  <c r="AU140" i="174"/>
  <c r="BQ140" i="174" s="1"/>
  <c r="I145" i="174"/>
  <c r="AU145" i="174"/>
  <c r="BQ145" i="174" s="1"/>
  <c r="BR147" i="174"/>
  <c r="AU150" i="174"/>
  <c r="BQ150" i="174" s="1"/>
  <c r="BS200" i="174"/>
  <c r="CM152" i="174"/>
  <c r="DI152" i="174" s="1"/>
  <c r="H152" i="174"/>
  <c r="H157" i="174"/>
  <c r="I157" i="174" s="1"/>
  <c r="CM157" i="174"/>
  <c r="DI157" i="174" s="1"/>
  <c r="DN158" i="174"/>
  <c r="BV158" i="174"/>
  <c r="Y158" i="174"/>
  <c r="DN161" i="174"/>
  <c r="BV161" i="174"/>
  <c r="Y161" i="174"/>
  <c r="AU171" i="174"/>
  <c r="BQ171" i="174" s="1"/>
  <c r="BX183" i="174"/>
  <c r="BR183" i="174" s="1"/>
  <c r="AV183" i="174"/>
  <c r="AU183" i="174" s="1"/>
  <c r="BQ183" i="174" s="1"/>
  <c r="AS206" i="174"/>
  <c r="CU204" i="174"/>
  <c r="I93" i="174"/>
  <c r="AC104" i="174"/>
  <c r="AC197" i="174" s="1"/>
  <c r="AC208" i="174" s="1"/>
  <c r="BX206" i="174"/>
  <c r="DN206" i="174"/>
  <c r="CB206" i="174"/>
  <c r="CB129" i="174"/>
  <c r="BR110" i="174"/>
  <c r="H111" i="174"/>
  <c r="I111" i="174" s="1"/>
  <c r="BX129" i="174"/>
  <c r="AO199" i="174"/>
  <c r="AO205" i="174" s="1"/>
  <c r="AO207" i="174" s="1"/>
  <c r="AO195" i="174"/>
  <c r="DZ132" i="174"/>
  <c r="DZ199" i="174" s="1"/>
  <c r="CH132" i="174"/>
  <c r="DV199" i="174"/>
  <c r="BV142" i="174"/>
  <c r="BR142" i="174" s="1"/>
  <c r="CM145" i="174"/>
  <c r="DI145" i="174" s="1"/>
  <c r="H145" i="174"/>
  <c r="Y147" i="174"/>
  <c r="I147" i="174" s="1"/>
  <c r="DN153" i="174"/>
  <c r="DJ153" i="174" s="1"/>
  <c r="BV164" i="174"/>
  <c r="BR164" i="174" s="1"/>
  <c r="AV164" i="174"/>
  <c r="AU164" i="174" s="1"/>
  <c r="BQ164" i="174" s="1"/>
  <c r="DN180" i="174"/>
  <c r="DJ180" i="174" s="1"/>
  <c r="BV180" i="174"/>
  <c r="BR180" i="174" s="1"/>
  <c r="Y180" i="174"/>
  <c r="CM130" i="174"/>
  <c r="DI130" i="174" s="1"/>
  <c r="H130" i="174"/>
  <c r="I130" i="174" s="1"/>
  <c r="DT195" i="174"/>
  <c r="BT199" i="174"/>
  <c r="CE199" i="174"/>
  <c r="EA199" i="174"/>
  <c r="BA195" i="174"/>
  <c r="BA197" i="174" s="1"/>
  <c r="BA199" i="174"/>
  <c r="BA205" i="174" s="1"/>
  <c r="BA207" i="174" s="1"/>
  <c r="H136" i="174"/>
  <c r="DJ144" i="174"/>
  <c r="BP199" i="174"/>
  <c r="BH200" i="174"/>
  <c r="CD153" i="174"/>
  <c r="H153" i="174"/>
  <c r="AU163" i="174"/>
  <c r="BQ163" i="174" s="1"/>
  <c r="Y177" i="174"/>
  <c r="CM177" i="174" s="1"/>
  <c r="DI177" i="174" s="1"/>
  <c r="DP177" i="174"/>
  <c r="DJ177" i="174" s="1"/>
  <c r="BX177" i="174"/>
  <c r="BR177" i="174" s="1"/>
  <c r="AU186" i="174"/>
  <c r="BQ186" i="174" s="1"/>
  <c r="CB204" i="174"/>
  <c r="EA204" i="174"/>
  <c r="AN204" i="174"/>
  <c r="DJ94" i="174"/>
  <c r="CU104" i="174"/>
  <c r="DV206" i="174"/>
  <c r="DJ108" i="174"/>
  <c r="CA129" i="174"/>
  <c r="AM206" i="174"/>
  <c r="AM129" i="174"/>
  <c r="CF122" i="174"/>
  <c r="BR122" i="174" s="1"/>
  <c r="Y122" i="174"/>
  <c r="CM122" i="174" s="1"/>
  <c r="DI122" i="174" s="1"/>
  <c r="H122" i="174"/>
  <c r="CM126" i="174"/>
  <c r="DI126" i="174" s="1"/>
  <c r="H126" i="174"/>
  <c r="I126" i="174" s="1"/>
  <c r="BT195" i="174"/>
  <c r="CT195" i="174"/>
  <c r="CF199" i="174"/>
  <c r="DQ199" i="174"/>
  <c r="I138" i="174"/>
  <c r="DJ139" i="174"/>
  <c r="DQ200" i="174"/>
  <c r="EA200" i="174"/>
  <c r="EC200" i="174"/>
  <c r="EC205" i="174" s="1"/>
  <c r="EC207" i="174" s="1"/>
  <c r="EC195" i="174"/>
  <c r="BR156" i="174"/>
  <c r="H163" i="174"/>
  <c r="CM163" i="174"/>
  <c r="DI163" i="174" s="1"/>
  <c r="CT200" i="174"/>
  <c r="DP170" i="174"/>
  <c r="CN183" i="174"/>
  <c r="DP183" i="174"/>
  <c r="DJ183" i="174" s="1"/>
  <c r="DJ184" i="174"/>
  <c r="DJ191" i="174"/>
  <c r="AU192" i="174"/>
  <c r="BQ192" i="174" s="1"/>
  <c r="AC204" i="174"/>
  <c r="I94" i="174"/>
  <c r="CB104" i="174"/>
  <c r="DW206" i="174"/>
  <c r="DW129" i="174"/>
  <c r="CE195" i="174"/>
  <c r="AC199" i="174"/>
  <c r="AC205" i="174" s="1"/>
  <c r="AC207" i="174" s="1"/>
  <c r="AC195" i="174"/>
  <c r="DN132" i="174"/>
  <c r="Y132" i="174"/>
  <c r="CN135" i="174"/>
  <c r="CM147" i="174"/>
  <c r="DI147" i="174" s="1"/>
  <c r="AC200" i="174"/>
  <c r="DN152" i="174"/>
  <c r="Y152" i="174"/>
  <c r="BV152" i="174"/>
  <c r="BR152" i="174" s="1"/>
  <c r="AF200" i="174"/>
  <c r="AF205" i="174" s="1"/>
  <c r="AF207" i="174" s="1"/>
  <c r="AF195" i="174"/>
  <c r="BY162" i="174"/>
  <c r="BY195" i="174" s="1"/>
  <c r="DQ162" i="174"/>
  <c r="DQ195" i="174" s="1"/>
  <c r="H171" i="174"/>
  <c r="EC203" i="174"/>
  <c r="BR179" i="174"/>
  <c r="CM181" i="174"/>
  <c r="DI181" i="174" s="1"/>
  <c r="H181" i="174"/>
  <c r="BR194" i="174"/>
  <c r="BD205" i="174"/>
  <c r="BD207" i="174" s="1"/>
  <c r="BS206" i="174"/>
  <c r="DT206" i="174"/>
  <c r="DC206" i="174"/>
  <c r="BS195" i="174"/>
  <c r="CC195" i="174"/>
  <c r="EA195" i="174"/>
  <c r="DS199" i="174"/>
  <c r="EB199" i="174"/>
  <c r="DD199" i="174"/>
  <c r="DD195" i="174"/>
  <c r="AU149" i="174"/>
  <c r="BQ149" i="174" s="1"/>
  <c r="BY200" i="174"/>
  <c r="DX200" i="174"/>
  <c r="BV153" i="174"/>
  <c r="Y153" i="174"/>
  <c r="CM153" i="174" s="1"/>
  <c r="DI153" i="174" s="1"/>
  <c r="BR154" i="174"/>
  <c r="DN167" i="174"/>
  <c r="DJ167" i="174" s="1"/>
  <c r="BR168" i="174"/>
  <c r="CN170" i="174"/>
  <c r="CL172" i="174"/>
  <c r="BR172" i="174" s="1"/>
  <c r="I190" i="174"/>
  <c r="I194" i="174"/>
  <c r="CG199" i="174"/>
  <c r="DX199" i="174"/>
  <c r="AU151" i="174"/>
  <c r="BQ151" i="174" s="1"/>
  <c r="BT200" i="174"/>
  <c r="DS200" i="174"/>
  <c r="DN155" i="174"/>
  <c r="DJ155" i="174" s="1"/>
  <c r="BV157" i="174"/>
  <c r="BR157" i="174" s="1"/>
  <c r="DN157" i="174"/>
  <c r="DJ157" i="174" s="1"/>
  <c r="AN200" i="174"/>
  <c r="AV160" i="174"/>
  <c r="AU160" i="174" s="1"/>
  <c r="BQ160" i="174" s="1"/>
  <c r="H164" i="174"/>
  <c r="I164" i="174" s="1"/>
  <c r="CM164" i="174"/>
  <c r="DI164" i="174" s="1"/>
  <c r="I169" i="174"/>
  <c r="I173" i="174"/>
  <c r="DN176" i="174"/>
  <c r="DJ176" i="174" s="1"/>
  <c r="Y176" i="174"/>
  <c r="Y184" i="174"/>
  <c r="BV184" i="174"/>
  <c r="BR184" i="174" s="1"/>
  <c r="DJ186" i="174"/>
  <c r="DP206" i="174"/>
  <c r="DZ206" i="174"/>
  <c r="BP206" i="174"/>
  <c r="CA206" i="174"/>
  <c r="AV124" i="174"/>
  <c r="DT129" i="174"/>
  <c r="BY199" i="174"/>
  <c r="Y142" i="174"/>
  <c r="CM142" i="174" s="1"/>
  <c r="DI142" i="174" s="1"/>
  <c r="CE200" i="174"/>
  <c r="DT200" i="174"/>
  <c r="BR162" i="174"/>
  <c r="CN162" i="174"/>
  <c r="AA200" i="174"/>
  <c r="Y163" i="174"/>
  <c r="I163" i="174" s="1"/>
  <c r="DL163" i="174"/>
  <c r="ED164" i="174"/>
  <c r="AV168" i="174"/>
  <c r="AU168" i="174" s="1"/>
  <c r="BQ168" i="174" s="1"/>
  <c r="Y171" i="174"/>
  <c r="I171" i="174" s="1"/>
  <c r="AU174" i="174"/>
  <c r="BQ174" i="174" s="1"/>
  <c r="I181" i="174"/>
  <c r="DJ182" i="174"/>
  <c r="BR185" i="174"/>
  <c r="AU193" i="174"/>
  <c r="BQ193" i="174" s="1"/>
  <c r="H193" i="174"/>
  <c r="CM193" i="174"/>
  <c r="DI193" i="174" s="1"/>
  <c r="DD129" i="174"/>
  <c r="CA199" i="174"/>
  <c r="CI204" i="174"/>
  <c r="DU199" i="174"/>
  <c r="DU205" i="174" s="1"/>
  <c r="DU207" i="174" s="1"/>
  <c r="BW200" i="174"/>
  <c r="CF200" i="174"/>
  <c r="AU157" i="174"/>
  <c r="BQ157" i="174" s="1"/>
  <c r="DJ162" i="174"/>
  <c r="DM195" i="174"/>
  <c r="Y165" i="174"/>
  <c r="DJ166" i="174"/>
  <c r="AU172" i="174"/>
  <c r="BQ172" i="174" s="1"/>
  <c r="H178" i="174"/>
  <c r="CO205" i="174"/>
  <c r="EB200" i="174"/>
  <c r="BV155" i="174"/>
  <c r="BR155" i="174" s="1"/>
  <c r="BV163" i="174"/>
  <c r="BR163" i="174" s="1"/>
  <c r="ED169" i="174"/>
  <c r="DJ169" i="174" s="1"/>
  <c r="CH170" i="174"/>
  <c r="DN178" i="174"/>
  <c r="DJ178" i="174" s="1"/>
  <c r="DJ185" i="174"/>
  <c r="BR189" i="174"/>
  <c r="H191" i="174"/>
  <c r="CI200" i="174"/>
  <c r="I156" i="174"/>
  <c r="I160" i="174"/>
  <c r="Y166" i="174"/>
  <c r="I166" i="174" s="1"/>
  <c r="CL169" i="174"/>
  <c r="BR169" i="174" s="1"/>
  <c r="Y174" i="174"/>
  <c r="BR178" i="174"/>
  <c r="Y182" i="174"/>
  <c r="CM182" i="174" s="1"/>
  <c r="DI182" i="174" s="1"/>
  <c r="CL193" i="174"/>
  <c r="BR193" i="174" s="1"/>
  <c r="Y193" i="174"/>
  <c r="AJ205" i="174"/>
  <c r="AJ207" i="174" s="1"/>
  <c r="AJ208" i="174" s="1"/>
  <c r="DM200" i="174"/>
  <c r="Y178" i="174"/>
  <c r="I178" i="174" s="1"/>
  <c r="BR186" i="174"/>
  <c r="BX188" i="174"/>
  <c r="BR188" i="174" s="1"/>
  <c r="AV188" i="174"/>
  <c r="AU188" i="174" s="1"/>
  <c r="BQ188" i="174" s="1"/>
  <c r="CH192" i="174"/>
  <c r="BR192" i="174" s="1"/>
  <c r="DG205" i="174"/>
  <c r="DG207" i="174" s="1"/>
  <c r="DG208" i="174" s="1"/>
  <c r="AS200" i="174"/>
  <c r="CM179" i="174"/>
  <c r="DI179" i="174" s="1"/>
  <c r="H179" i="174"/>
  <c r="I179" i="174" s="1"/>
  <c r="BR187" i="174"/>
  <c r="DJ194" i="174"/>
  <c r="AL205" i="174"/>
  <c r="AL207" i="174" s="1"/>
  <c r="AW205" i="174"/>
  <c r="BN205" i="174"/>
  <c r="BN207" i="174" s="1"/>
  <c r="BL201" i="174"/>
  <c r="CY205" i="174"/>
  <c r="CY207" i="174" s="1"/>
  <c r="AM205" i="174"/>
  <c r="BE205" i="174"/>
  <c r="BE207" i="174" s="1"/>
  <c r="BM205" i="174"/>
  <c r="CW205" i="174"/>
  <c r="CW207" i="174" s="1"/>
  <c r="BO205" i="174"/>
  <c r="BO207" i="174" s="1"/>
  <c r="AA205" i="174"/>
  <c r="AA207" i="174" s="1"/>
  <c r="AI205" i="174"/>
  <c r="AI207" i="174" s="1"/>
  <c r="AQ205" i="174"/>
  <c r="AQ207" i="174" s="1"/>
  <c r="AQ208" i="174" s="1"/>
  <c r="H127" i="174" l="1"/>
  <c r="I127" i="174" s="1"/>
  <c r="CM62" i="174"/>
  <c r="DI62" i="174" s="1"/>
  <c r="DZ129" i="174"/>
  <c r="DJ87" i="174"/>
  <c r="EB197" i="174"/>
  <c r="ED129" i="174"/>
  <c r="H63" i="174"/>
  <c r="I63" i="174" s="1"/>
  <c r="CM63" i="174"/>
  <c r="DI63" i="174" s="1"/>
  <c r="I70" i="174"/>
  <c r="BY204" i="174"/>
  <c r="CL34" i="174"/>
  <c r="CH199" i="174"/>
  <c r="DJ115" i="174"/>
  <c r="BE208" i="174"/>
  <c r="BY104" i="174"/>
  <c r="CM57" i="174"/>
  <c r="DI57" i="174" s="1"/>
  <c r="BD208" i="174"/>
  <c r="BR135" i="174"/>
  <c r="BS129" i="174"/>
  <c r="BS197" i="174" s="1"/>
  <c r="CG104" i="174"/>
  <c r="CL203" i="174"/>
  <c r="AW207" i="174"/>
  <c r="AW208" i="174" s="1"/>
  <c r="BR71" i="174"/>
  <c r="BX34" i="174"/>
  <c r="DY202" i="174"/>
  <c r="BI205" i="174"/>
  <c r="BI207" i="174" s="1"/>
  <c r="CH206" i="174"/>
  <c r="DJ170" i="174"/>
  <c r="DW104" i="174"/>
  <c r="DA208" i="174"/>
  <c r="BI197" i="174"/>
  <c r="BI208" i="174" s="1"/>
  <c r="DQ104" i="174"/>
  <c r="I64" i="174"/>
  <c r="DW205" i="174"/>
  <c r="DW207" i="174" s="1"/>
  <c r="CE205" i="174"/>
  <c r="CE207" i="174" s="1"/>
  <c r="CP208" i="174"/>
  <c r="DX67" i="174"/>
  <c r="BU208" i="174"/>
  <c r="DF208" i="174"/>
  <c r="DJ39" i="174"/>
  <c r="DK129" i="174"/>
  <c r="BR124" i="174"/>
  <c r="DX206" i="174"/>
  <c r="DE207" i="174"/>
  <c r="DE208" i="174" s="1"/>
  <c r="CN129" i="174"/>
  <c r="CO207" i="174"/>
  <c r="CO208" i="174" s="1"/>
  <c r="CM44" i="174"/>
  <c r="DI44" i="174" s="1"/>
  <c r="CL206" i="174"/>
  <c r="BV67" i="174"/>
  <c r="CM64" i="174"/>
  <c r="DI64" i="174" s="1"/>
  <c r="DJ90" i="174"/>
  <c r="BW199" i="174"/>
  <c r="BW205" i="174" s="1"/>
  <c r="BW207" i="174" s="1"/>
  <c r="CN104" i="174"/>
  <c r="CM104" i="174" s="1"/>
  <c r="DI104" i="174" s="1"/>
  <c r="BW195" i="174"/>
  <c r="BW197" i="174" s="1"/>
  <c r="CF67" i="174"/>
  <c r="BR153" i="174"/>
  <c r="H82" i="174"/>
  <c r="I82" i="174" s="1"/>
  <c r="DR208" i="174"/>
  <c r="CF202" i="174"/>
  <c r="CD200" i="174"/>
  <c r="BR32" i="174"/>
  <c r="BR150" i="174"/>
  <c r="BR173" i="174"/>
  <c r="CM90" i="174"/>
  <c r="DI90" i="174" s="1"/>
  <c r="I37" i="174"/>
  <c r="CS208" i="174"/>
  <c r="DC34" i="174"/>
  <c r="CF34" i="174"/>
  <c r="DJ135" i="174"/>
  <c r="DY129" i="174"/>
  <c r="DJ127" i="174"/>
  <c r="DO199" i="174"/>
  <c r="DO205" i="174" s="1"/>
  <c r="DO207" i="174" s="1"/>
  <c r="BO208" i="174"/>
  <c r="DY206" i="174"/>
  <c r="DX129" i="174"/>
  <c r="CG34" i="174"/>
  <c r="CN204" i="174"/>
  <c r="DB205" i="174"/>
  <c r="DB207" i="174" s="1"/>
  <c r="BC205" i="174"/>
  <c r="BC207" i="174" s="1"/>
  <c r="AX208" i="174"/>
  <c r="EA205" i="174"/>
  <c r="DP204" i="174"/>
  <c r="AV203" i="174"/>
  <c r="AW212" i="174" s="1"/>
  <c r="BT202" i="174"/>
  <c r="BT205" i="174" s="1"/>
  <c r="BA208" i="174"/>
  <c r="DY67" i="174"/>
  <c r="AV204" i="174"/>
  <c r="AU204" i="174" s="1"/>
  <c r="BQ204" i="174" s="1"/>
  <c r="CM48" i="174"/>
  <c r="DI48" i="174" s="1"/>
  <c r="CH195" i="174"/>
  <c r="I101" i="174"/>
  <c r="AV34" i="174"/>
  <c r="AU34" i="174" s="1"/>
  <c r="BQ34" i="174" s="1"/>
  <c r="CI205" i="174"/>
  <c r="AV202" i="174"/>
  <c r="AU202" i="174" s="1"/>
  <c r="BQ202" i="174" s="1"/>
  <c r="BL205" i="174"/>
  <c r="BL207" i="174" s="1"/>
  <c r="CL67" i="174"/>
  <c r="BJ197" i="174"/>
  <c r="CK195" i="174"/>
  <c r="CK197" i="174" s="1"/>
  <c r="BR60" i="174"/>
  <c r="DJ47" i="174"/>
  <c r="AV201" i="174"/>
  <c r="CV208" i="174"/>
  <c r="CM18" i="174"/>
  <c r="DI18" i="174" s="1"/>
  <c r="H18" i="174"/>
  <c r="I18" i="174" s="1"/>
  <c r="CM178" i="174"/>
  <c r="DI178" i="174" s="1"/>
  <c r="Y199" i="174"/>
  <c r="AU132" i="174"/>
  <c r="BQ132" i="174" s="1"/>
  <c r="I132" i="174"/>
  <c r="BR171" i="174"/>
  <c r="BR113" i="174"/>
  <c r="DZ195" i="174"/>
  <c r="H52" i="174"/>
  <c r="I52" i="174" s="1"/>
  <c r="CM52" i="174"/>
  <c r="DI52" i="174" s="1"/>
  <c r="CL202" i="174"/>
  <c r="CL129" i="174"/>
  <c r="CG67" i="174"/>
  <c r="ED104" i="174"/>
  <c r="H65" i="174"/>
  <c r="I65" i="174" s="1"/>
  <c r="CM65" i="174"/>
  <c r="DI65" i="174" s="1"/>
  <c r="DO197" i="174"/>
  <c r="H47" i="174"/>
  <c r="I47" i="174" s="1"/>
  <c r="CM47" i="174"/>
  <c r="DI47" i="174" s="1"/>
  <c r="BY202" i="174"/>
  <c r="BY205" i="174" s="1"/>
  <c r="BY207" i="174" s="1"/>
  <c r="BY67" i="174"/>
  <c r="DJ48" i="174"/>
  <c r="CM36" i="174"/>
  <c r="DI36" i="174" s="1"/>
  <c r="I36" i="174"/>
  <c r="AU36" i="174"/>
  <c r="BQ36" i="174" s="1"/>
  <c r="CN202" i="174"/>
  <c r="DJ192" i="174"/>
  <c r="H162" i="174"/>
  <c r="I162" i="174" s="1"/>
  <c r="CM162" i="174"/>
  <c r="DI162" i="174" s="1"/>
  <c r="I184" i="174"/>
  <c r="AU184" i="174"/>
  <c r="BQ184" i="174" s="1"/>
  <c r="CM184" i="174"/>
  <c r="DI184" i="174" s="1"/>
  <c r="CM170" i="174"/>
  <c r="DI170" i="174" s="1"/>
  <c r="H170" i="174"/>
  <c r="I170" i="174" s="1"/>
  <c r="CH200" i="174"/>
  <c r="DJ132" i="174"/>
  <c r="DQ204" i="174"/>
  <c r="DJ164" i="174"/>
  <c r="DP200" i="174"/>
  <c r="CN206" i="174"/>
  <c r="DL204" i="174"/>
  <c r="DL104" i="174"/>
  <c r="DJ78" i="174"/>
  <c r="DY204" i="174"/>
  <c r="CL204" i="174"/>
  <c r="CL104" i="174"/>
  <c r="CM192" i="174"/>
  <c r="DI192" i="174" s="1"/>
  <c r="H192" i="174"/>
  <c r="I192" i="174" s="1"/>
  <c r="DP195" i="174"/>
  <c r="CW208" i="174"/>
  <c r="DZ67" i="174"/>
  <c r="AN205" i="174"/>
  <c r="AN207" i="174" s="1"/>
  <c r="ED34" i="174"/>
  <c r="DL201" i="174"/>
  <c r="DJ201" i="174" s="1"/>
  <c r="CM132" i="174"/>
  <c r="DI132" i="174" s="1"/>
  <c r="AF197" i="174"/>
  <c r="AF208" i="174" s="1"/>
  <c r="I59" i="174"/>
  <c r="AU59" i="174"/>
  <c r="BQ59" i="174" s="1"/>
  <c r="BR30" i="174"/>
  <c r="BR11" i="174"/>
  <c r="CG202" i="174"/>
  <c r="H54" i="174"/>
  <c r="I54" i="174" s="1"/>
  <c r="CM54" i="174"/>
  <c r="DI54" i="174" s="1"/>
  <c r="BR49" i="174"/>
  <c r="DQ202" i="174"/>
  <c r="DQ67" i="174"/>
  <c r="CM30" i="174"/>
  <c r="DI30" i="174" s="1"/>
  <c r="H30" i="174"/>
  <c r="I30" i="174" s="1"/>
  <c r="DJ69" i="174"/>
  <c r="DP202" i="174"/>
  <c r="DP67" i="174"/>
  <c r="DJ18" i="174"/>
  <c r="H183" i="174"/>
  <c r="I183" i="174" s="1"/>
  <c r="CM183" i="174"/>
  <c r="DI183" i="174" s="1"/>
  <c r="BX199" i="174"/>
  <c r="BR132" i="174"/>
  <c r="DQ34" i="174"/>
  <c r="ED204" i="174"/>
  <c r="H75" i="174"/>
  <c r="I75" i="174" s="1"/>
  <c r="CM75" i="174"/>
  <c r="DI75" i="174" s="1"/>
  <c r="DM202" i="174"/>
  <c r="DM205" i="174" s="1"/>
  <c r="DM207" i="174" s="1"/>
  <c r="DM67" i="174"/>
  <c r="DM197" i="174" s="1"/>
  <c r="CM10" i="174"/>
  <c r="DI10" i="174" s="1"/>
  <c r="H10" i="174"/>
  <c r="I10" i="174" s="1"/>
  <c r="EC208" i="174"/>
  <c r="DL34" i="174"/>
  <c r="CM71" i="174"/>
  <c r="DI71" i="174" s="1"/>
  <c r="H71" i="174"/>
  <c r="I71" i="174" s="1"/>
  <c r="DN202" i="174"/>
  <c r="DN67" i="174"/>
  <c r="AU47" i="174"/>
  <c r="BQ47" i="174" s="1"/>
  <c r="BZ202" i="174"/>
  <c r="BZ205" i="174" s="1"/>
  <c r="BZ207" i="174" s="1"/>
  <c r="BZ67" i="174"/>
  <c r="BZ197" i="174" s="1"/>
  <c r="DK205" i="174"/>
  <c r="AU182" i="174"/>
  <c r="BQ182" i="174" s="1"/>
  <c r="I182" i="174"/>
  <c r="AU101" i="174"/>
  <c r="BQ101" i="174" s="1"/>
  <c r="DD197" i="174"/>
  <c r="BR101" i="174"/>
  <c r="I61" i="174"/>
  <c r="AU61" i="174"/>
  <c r="BQ61" i="174" s="1"/>
  <c r="I87" i="174"/>
  <c r="CM87" i="174"/>
  <c r="DI87" i="174" s="1"/>
  <c r="I149" i="174"/>
  <c r="CM149" i="174"/>
  <c r="DI149" i="174" s="1"/>
  <c r="AU37" i="174"/>
  <c r="BQ37" i="174" s="1"/>
  <c r="BL197" i="174"/>
  <c r="ED203" i="174"/>
  <c r="I175" i="174"/>
  <c r="CM175" i="174"/>
  <c r="DI175" i="174" s="1"/>
  <c r="AU175" i="174"/>
  <c r="BQ175" i="174" s="1"/>
  <c r="I124" i="174"/>
  <c r="CM124" i="174"/>
  <c r="DI124" i="174" s="1"/>
  <c r="ED67" i="174"/>
  <c r="DN203" i="174"/>
  <c r="DP25" i="174"/>
  <c r="CN25" i="174"/>
  <c r="AE197" i="174"/>
  <c r="AV104" i="174"/>
  <c r="AU104" i="174" s="1"/>
  <c r="BQ104" i="174" s="1"/>
  <c r="BM207" i="174"/>
  <c r="BM208" i="174" s="1"/>
  <c r="BS205" i="174"/>
  <c r="BS207" i="174" s="1"/>
  <c r="DD205" i="174"/>
  <c r="DD207" i="174" s="1"/>
  <c r="Y200" i="174"/>
  <c r="I152" i="174"/>
  <c r="AE205" i="174"/>
  <c r="AE207" i="174" s="1"/>
  <c r="AU152" i="174"/>
  <c r="BQ152" i="174" s="1"/>
  <c r="AU115" i="174"/>
  <c r="BQ115" i="174" s="1"/>
  <c r="BT129" i="174"/>
  <c r="BT206" i="174"/>
  <c r="BR106" i="174"/>
  <c r="BX104" i="174"/>
  <c r="AU141" i="174"/>
  <c r="BQ141" i="174" s="1"/>
  <c r="CM141" i="174"/>
  <c r="DI141" i="174" s="1"/>
  <c r="I141" i="174"/>
  <c r="CM101" i="174"/>
  <c r="DI101" i="174" s="1"/>
  <c r="CF129" i="174"/>
  <c r="DJ70" i="174"/>
  <c r="I7" i="174"/>
  <c r="CH34" i="174"/>
  <c r="I73" i="174"/>
  <c r="CM84" i="174"/>
  <c r="DI84" i="174" s="1"/>
  <c r="H84" i="174"/>
  <c r="I84" i="174" s="1"/>
  <c r="ED202" i="174"/>
  <c r="DJ17" i="174"/>
  <c r="CG203" i="174"/>
  <c r="BV104" i="174"/>
  <c r="CT34" i="174"/>
  <c r="CT197" i="174" s="1"/>
  <c r="Y104" i="174"/>
  <c r="DJ52" i="174"/>
  <c r="DJ45" i="174"/>
  <c r="CH202" i="174"/>
  <c r="DL67" i="174"/>
  <c r="H39" i="174"/>
  <c r="I39" i="174" s="1"/>
  <c r="CM39" i="174"/>
  <c r="DI39" i="174" s="1"/>
  <c r="BR48" i="174"/>
  <c r="H60" i="174"/>
  <c r="I60" i="174" s="1"/>
  <c r="CM60" i="174"/>
  <c r="DI60" i="174" s="1"/>
  <c r="DW67" i="174"/>
  <c r="BR21" i="174"/>
  <c r="DB197" i="174"/>
  <c r="CM7" i="174"/>
  <c r="DI7" i="174" s="1"/>
  <c r="AU122" i="174"/>
  <c r="BQ122" i="174" s="1"/>
  <c r="I122" i="174"/>
  <c r="I180" i="174"/>
  <c r="AU180" i="174"/>
  <c r="BQ180" i="174" s="1"/>
  <c r="CM180" i="174"/>
  <c r="DI180" i="174" s="1"/>
  <c r="CM115" i="174"/>
  <c r="DI115" i="174" s="1"/>
  <c r="H115" i="174"/>
  <c r="I115" i="174" s="1"/>
  <c r="BX203" i="174"/>
  <c r="I98" i="174"/>
  <c r="CM61" i="174"/>
  <c r="DI61" i="174" s="1"/>
  <c r="Y202" i="174"/>
  <c r="Y67" i="174"/>
  <c r="Y197" i="174" s="1"/>
  <c r="CM135" i="174"/>
  <c r="DI135" i="174" s="1"/>
  <c r="H135" i="174"/>
  <c r="I135" i="174" s="1"/>
  <c r="DK206" i="174"/>
  <c r="CG129" i="174"/>
  <c r="I95" i="174"/>
  <c r="CM95" i="174"/>
  <c r="DI95" i="174" s="1"/>
  <c r="Y206" i="174"/>
  <c r="I106" i="174"/>
  <c r="Y129" i="174"/>
  <c r="I143" i="174"/>
  <c r="AU143" i="174"/>
  <c r="BQ143" i="174" s="1"/>
  <c r="BJ205" i="174"/>
  <c r="BJ207" i="174" s="1"/>
  <c r="AU136" i="174"/>
  <c r="BQ136" i="174" s="1"/>
  <c r="I136" i="174"/>
  <c r="CM22" i="174"/>
  <c r="DI22" i="174" s="1"/>
  <c r="H22" i="174"/>
  <c r="I22" i="174" s="1"/>
  <c r="CF203" i="174"/>
  <c r="DP104" i="174"/>
  <c r="CA197" i="174"/>
  <c r="DJ60" i="174"/>
  <c r="H45" i="174"/>
  <c r="I45" i="174" s="1"/>
  <c r="CM45" i="174"/>
  <c r="DI45" i="174" s="1"/>
  <c r="CH67" i="174"/>
  <c r="CM37" i="174"/>
  <c r="DI37" i="174" s="1"/>
  <c r="CM174" i="174"/>
  <c r="DI174" i="174" s="1"/>
  <c r="I174" i="174"/>
  <c r="DL200" i="174"/>
  <c r="DL195" i="174"/>
  <c r="DJ163" i="174"/>
  <c r="AU124" i="174"/>
  <c r="BQ124" i="174" s="1"/>
  <c r="AU191" i="174"/>
  <c r="BQ191" i="174" s="1"/>
  <c r="I153" i="174"/>
  <c r="EB205" i="174"/>
  <c r="EB207" i="174" s="1"/>
  <c r="DJ152" i="174"/>
  <c r="I177" i="174"/>
  <c r="AU177" i="174"/>
  <c r="BQ177" i="174" s="1"/>
  <c r="CM136" i="174"/>
  <c r="DI136" i="174" s="1"/>
  <c r="AU153" i="174"/>
  <c r="BQ153" i="174" s="1"/>
  <c r="DL206" i="174"/>
  <c r="DL129" i="174"/>
  <c r="BX204" i="174"/>
  <c r="DX202" i="174"/>
  <c r="CF206" i="174"/>
  <c r="BV202" i="174"/>
  <c r="CK205" i="174"/>
  <c r="CK207" i="174" s="1"/>
  <c r="BR58" i="174"/>
  <c r="DZ202" i="174"/>
  <c r="DZ205" i="174" s="1"/>
  <c r="DZ207" i="174" s="1"/>
  <c r="BR68" i="174"/>
  <c r="CT203" i="174"/>
  <c r="CN203" i="174" s="1"/>
  <c r="CM203" i="174" s="1"/>
  <c r="DI203" i="174" s="1"/>
  <c r="Y204" i="174"/>
  <c r="AU45" i="174"/>
  <c r="BQ45" i="174" s="1"/>
  <c r="BT67" i="174"/>
  <c r="DJ35" i="174"/>
  <c r="DK197" i="174"/>
  <c r="AU16" i="174"/>
  <c r="BQ16" i="174" s="1"/>
  <c r="I16" i="174"/>
  <c r="CM16" i="174"/>
  <c r="DI16" i="174" s="1"/>
  <c r="CH201" i="174"/>
  <c r="AU60" i="174"/>
  <c r="BQ60" i="174" s="1"/>
  <c r="CM11" i="174"/>
  <c r="DI11" i="174" s="1"/>
  <c r="DS197" i="174"/>
  <c r="DS208" i="174" s="1"/>
  <c r="I176" i="174"/>
  <c r="CM176" i="174"/>
  <c r="H109" i="174"/>
  <c r="I109" i="174" s="1"/>
  <c r="CM109" i="174"/>
  <c r="DI109" i="174" s="1"/>
  <c r="DN204" i="174"/>
  <c r="AV129" i="174"/>
  <c r="AU106" i="174"/>
  <c r="BQ106" i="174" s="1"/>
  <c r="CB205" i="174"/>
  <c r="CB207" i="174" s="1"/>
  <c r="CB208" i="174" s="1"/>
  <c r="AV67" i="174"/>
  <c r="AU67" i="174" s="1"/>
  <c r="BQ67" i="174" s="1"/>
  <c r="AU166" i="174"/>
  <c r="BQ166" i="174" s="1"/>
  <c r="H108" i="174"/>
  <c r="I108" i="174" s="1"/>
  <c r="CM108" i="174"/>
  <c r="DI108" i="174" s="1"/>
  <c r="BR109" i="174"/>
  <c r="CU201" i="174"/>
  <c r="CU34" i="174"/>
  <c r="CU197" i="174" s="1"/>
  <c r="CM4" i="174"/>
  <c r="DI4" i="174" s="1"/>
  <c r="H4" i="174"/>
  <c r="BX202" i="174"/>
  <c r="BX67" i="174"/>
  <c r="BR35" i="174"/>
  <c r="CC197" i="174"/>
  <c r="CC208" i="174" s="1"/>
  <c r="AM207" i="174"/>
  <c r="AM208" i="174" s="1"/>
  <c r="I193" i="174"/>
  <c r="CM191" i="174"/>
  <c r="DI191" i="174" s="1"/>
  <c r="CA205" i="174"/>
  <c r="CA207" i="174" s="1"/>
  <c r="AU178" i="174"/>
  <c r="BQ178" i="174" s="1"/>
  <c r="I142" i="174"/>
  <c r="AU142" i="174"/>
  <c r="BQ142" i="174" s="1"/>
  <c r="CM166" i="174"/>
  <c r="DI166" i="174" s="1"/>
  <c r="DS205" i="174"/>
  <c r="DS207" i="174" s="1"/>
  <c r="CM171" i="174"/>
  <c r="DI171" i="174" s="1"/>
  <c r="CJ205" i="174"/>
  <c r="CJ207" i="174" s="1"/>
  <c r="CJ208" i="174" s="1"/>
  <c r="CI206" i="174"/>
  <c r="CI129" i="174"/>
  <c r="CI197" i="174" s="1"/>
  <c r="CM103" i="174"/>
  <c r="DI103" i="174" s="1"/>
  <c r="H103" i="174"/>
  <c r="I103" i="174" s="1"/>
  <c r="Y195" i="174"/>
  <c r="CN32" i="174"/>
  <c r="DY32" i="174"/>
  <c r="DJ32" i="174" s="1"/>
  <c r="DX203" i="174"/>
  <c r="DX34" i="174"/>
  <c r="EA206" i="174"/>
  <c r="EA129" i="174"/>
  <c r="EA197" i="174" s="1"/>
  <c r="CL201" i="174"/>
  <c r="AU23" i="174"/>
  <c r="AS197" i="174"/>
  <c r="AS208" i="174" s="1"/>
  <c r="AU98" i="174"/>
  <c r="BQ98" i="174" s="1"/>
  <c r="I43" i="174"/>
  <c r="AU43" i="174"/>
  <c r="BQ43" i="174" s="1"/>
  <c r="CM43" i="174"/>
  <c r="DI43" i="174" s="1"/>
  <c r="DL202" i="174"/>
  <c r="H17" i="174"/>
  <c r="I17" i="174" s="1"/>
  <c r="CM17" i="174"/>
  <c r="DI17" i="174" s="1"/>
  <c r="Y203" i="174"/>
  <c r="CM53" i="174"/>
  <c r="DI53" i="174" s="1"/>
  <c r="I53" i="174"/>
  <c r="AN197" i="174"/>
  <c r="AN208" i="174" s="1"/>
  <c r="AV206" i="174"/>
  <c r="BC197" i="174"/>
  <c r="AU11" i="174"/>
  <c r="BQ11" i="174" s="1"/>
  <c r="CE197" i="174"/>
  <c r="AU71" i="174"/>
  <c r="BQ71" i="174" s="1"/>
  <c r="CM35" i="174"/>
  <c r="DI35" i="174" s="1"/>
  <c r="H35" i="174"/>
  <c r="I35" i="174" s="1"/>
  <c r="CN67" i="174"/>
  <c r="BR17" i="174"/>
  <c r="CM50" i="174"/>
  <c r="DI50" i="174" s="1"/>
  <c r="H50" i="174"/>
  <c r="I50" i="174" s="1"/>
  <c r="Y201" i="174"/>
  <c r="BT34" i="174"/>
  <c r="DJ129" i="174" l="1"/>
  <c r="EB208" i="174"/>
  <c r="DJ104" i="174"/>
  <c r="BY197" i="174"/>
  <c r="BS208" i="174"/>
  <c r="CA208" i="174"/>
  <c r="H206" i="174"/>
  <c r="BZ208" i="174"/>
  <c r="DW197" i="174"/>
  <c r="DW208" i="174" s="1"/>
  <c r="BC208" i="174"/>
  <c r="CE208" i="174"/>
  <c r="DM208" i="174"/>
  <c r="CM129" i="174"/>
  <c r="DI129" i="174" s="1"/>
  <c r="DZ197" i="174"/>
  <c r="DZ208" i="174" s="1"/>
  <c r="CI207" i="174"/>
  <c r="CM204" i="174"/>
  <c r="DI204" i="174" s="1"/>
  <c r="BW208" i="174"/>
  <c r="CF205" i="174"/>
  <c r="CF207" i="174" s="1"/>
  <c r="DJ67" i="174"/>
  <c r="H104" i="174"/>
  <c r="DB208" i="174"/>
  <c r="DQ205" i="174"/>
  <c r="DQ207" i="174" s="1"/>
  <c r="DO208" i="174"/>
  <c r="DI67" i="174"/>
  <c r="AU201" i="174"/>
  <c r="BQ201" i="174" s="1"/>
  <c r="BR202" i="174"/>
  <c r="BR203" i="174"/>
  <c r="DY34" i="174"/>
  <c r="EA207" i="174"/>
  <c r="EA208" i="174" s="1"/>
  <c r="CF197" i="174"/>
  <c r="BR201" i="174"/>
  <c r="DX197" i="174"/>
  <c r="BR206" i="174"/>
  <c r="BT197" i="174"/>
  <c r="BR204" i="174"/>
  <c r="BL208" i="174"/>
  <c r="DX205" i="174"/>
  <c r="DX207" i="174" s="1"/>
  <c r="I204" i="174"/>
  <c r="AU203" i="174"/>
  <c r="BQ203" i="174" s="1"/>
  <c r="BR67" i="174"/>
  <c r="BR34" i="174"/>
  <c r="DJ202" i="174"/>
  <c r="DJ204" i="174"/>
  <c r="BJ208" i="174"/>
  <c r="I202" i="174"/>
  <c r="I67" i="174"/>
  <c r="CI208" i="174"/>
  <c r="BY208" i="174"/>
  <c r="CM202" i="174"/>
  <c r="DI202" i="174" s="1"/>
  <c r="CH205" i="174"/>
  <c r="CH207" i="174" s="1"/>
  <c r="CT205" i="174"/>
  <c r="CT207" i="174" s="1"/>
  <c r="CT208" i="174" s="1"/>
  <c r="H201" i="174"/>
  <c r="CU205" i="174"/>
  <c r="CU207" i="174" s="1"/>
  <c r="CU208" i="174" s="1"/>
  <c r="CN201" i="174"/>
  <c r="CM201" i="174" s="1"/>
  <c r="DI201" i="174" s="1"/>
  <c r="I206" i="174"/>
  <c r="I129" i="174"/>
  <c r="H129" i="174"/>
  <c r="DY203" i="174"/>
  <c r="AU206" i="174"/>
  <c r="BQ206" i="174" s="1"/>
  <c r="DL197" i="174"/>
  <c r="CM67" i="174"/>
  <c r="DL205" i="174"/>
  <c r="DL207" i="174" s="1"/>
  <c r="I104" i="174"/>
  <c r="CK208" i="174"/>
  <c r="CH197" i="174"/>
  <c r="AE208" i="174"/>
  <c r="DD208" i="174"/>
  <c r="DK207" i="174"/>
  <c r="DK208" i="174" s="1"/>
  <c r="CM206" i="174"/>
  <c r="DI206" i="174" s="1"/>
  <c r="Y205" i="174"/>
  <c r="Y207" i="174" s="1"/>
  <c r="Y208" i="174" s="1"/>
  <c r="H202" i="174"/>
  <c r="H67" i="174"/>
  <c r="BR129" i="174"/>
  <c r="I201" i="174"/>
  <c r="DJ206" i="174"/>
  <c r="DJ25" i="174"/>
  <c r="DJ34" i="174" s="1"/>
  <c r="DP203" i="174"/>
  <c r="DP34" i="174"/>
  <c r="DP197" i="174" s="1"/>
  <c r="BT207" i="174"/>
  <c r="DQ197" i="174"/>
  <c r="I4" i="174"/>
  <c r="CM25" i="174"/>
  <c r="DI25" i="174" s="1"/>
  <c r="H25" i="174"/>
  <c r="I25" i="174" s="1"/>
  <c r="AU129" i="174"/>
  <c r="BQ129" i="174" s="1"/>
  <c r="BR104" i="174"/>
  <c r="H32" i="174"/>
  <c r="I32" i="174" s="1"/>
  <c r="CM32" i="174"/>
  <c r="DI32" i="174" s="1"/>
  <c r="CN34" i="174"/>
  <c r="H204" i="174"/>
  <c r="DX208" i="174" l="1"/>
  <c r="CF208" i="174"/>
  <c r="DQ208" i="174"/>
  <c r="BT208" i="174"/>
  <c r="H203" i="174"/>
  <c r="CH208" i="174"/>
  <c r="I203" i="174"/>
  <c r="I34" i="174"/>
  <c r="DL208" i="174"/>
  <c r="H34" i="174"/>
  <c r="CM34" i="174"/>
  <c r="DI34" i="174" s="1"/>
  <c r="DJ203" i="174"/>
  <c r="DP205" i="174"/>
  <c r="DP207" i="174" s="1"/>
  <c r="DP208" i="174" s="1"/>
  <c r="G127" i="21" l="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s="1"/>
  <c r="AG146" i="28" s="1"/>
  <c r="AC138" i="28"/>
  <c r="AC144" i="28" s="1"/>
  <c r="AC146" i="28" s="1"/>
  <c r="T138" i="28"/>
  <c r="S138" i="28"/>
  <c r="S144" i="28" s="1"/>
  <c r="S146" i="28" s="1"/>
  <c r="G138" i="28"/>
  <c r="G144" i="28" s="1"/>
  <c r="G146" i="28" s="1"/>
  <c r="AG136" i="28"/>
  <c r="T136" i="28"/>
  <c r="AB134" i="28"/>
  <c r="S134" i="28"/>
  <c r="S136" i="28" s="1"/>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s="1"/>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s="1"/>
  <c r="AB102" i="28"/>
  <c r="AB145" i="28" s="1"/>
  <c r="AG101" i="28"/>
  <c r="AB101" i="28"/>
  <c r="AG100" i="28"/>
  <c r="AB100" i="28"/>
  <c r="AB113" i="28" s="1"/>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B62" i="28"/>
  <c r="AG61" i="28"/>
  <c r="AB61" i="28"/>
  <c r="AG60" i="28"/>
  <c r="AB60" i="28"/>
  <c r="AB138" i="28" s="1"/>
  <c r="AB144" i="28" s="1"/>
  <c r="AB146" i="28" s="1"/>
  <c r="AG59" i="28"/>
  <c r="AC59" i="28"/>
  <c r="AB59" i="28"/>
  <c r="AG58" i="28"/>
  <c r="AC58" i="28"/>
  <c r="AB58" i="28"/>
  <c r="AG57" i="28"/>
  <c r="AC57" i="28"/>
  <c r="AC93" i="28" s="1"/>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AB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A12" i="28"/>
  <c r="Z12" i="28"/>
  <c r="AG11" i="28"/>
  <c r="AG143" i="28" s="1"/>
  <c r="AC11" i="28"/>
  <c r="AM9" i="28"/>
  <c r="AI9" i="28"/>
  <c r="X9" i="28"/>
  <c r="T9" i="28"/>
  <c r="S9" i="28"/>
  <c r="Q9" i="28"/>
  <c r="O9" i="28"/>
  <c r="N9" i="28"/>
  <c r="M9" i="28"/>
  <c r="J9" i="28"/>
  <c r="G9" i="28"/>
  <c r="AG8" i="28"/>
  <c r="AE8" i="28" s="1"/>
  <c r="AX8" i="28" s="1"/>
  <c r="AW8" i="28" s="1"/>
  <c r="Q8" i="28"/>
  <c r="P8" i="28"/>
  <c r="R8" i="28" s="1"/>
  <c r="AG7" i="28"/>
  <c r="AE7" i="28" s="1"/>
  <c r="AW7" i="28" s="1"/>
  <c r="Q7" i="28"/>
  <c r="P7" i="28"/>
  <c r="R7" i="28" s="1"/>
  <c r="AG6" i="28"/>
  <c r="AX6" i="28" s="1"/>
  <c r="AW6" i="28" s="1"/>
  <c r="Q6" i="28"/>
  <c r="P6" i="28"/>
  <c r="R6" i="28" s="1"/>
  <c r="AX5" i="28"/>
  <c r="AW5" i="28"/>
  <c r="AG5" i="28"/>
  <c r="AE5" i="28"/>
  <c r="R5" i="28"/>
  <c r="AQ4" i="28"/>
  <c r="AQ9" i="28" s="1"/>
  <c r="AG4" i="28"/>
  <c r="AE4" i="28" s="1"/>
  <c r="AX4" i="28" s="1"/>
  <c r="AW4" i="28" s="1"/>
  <c r="R4" i="28"/>
  <c r="Q4" i="28"/>
  <c r="P4" i="28"/>
  <c r="S76" i="44"/>
  <c r="S72" i="44"/>
  <c r="K72" i="44"/>
  <c r="S71" i="44"/>
  <c r="G69" i="44"/>
  <c r="G75" i="44" s="1"/>
  <c r="U65" i="44"/>
  <c r="S65" i="44"/>
  <c r="R65" i="44"/>
  <c r="Q65" i="44"/>
  <c r="K65" i="44"/>
  <c r="H65" i="44"/>
  <c r="G65" i="44"/>
  <c r="F59" i="44" s="1"/>
  <c r="D65" i="44"/>
  <c r="V64" i="44"/>
  <c r="T64" i="44"/>
  <c r="D64" i="44"/>
  <c r="I64" i="44" s="1"/>
  <c r="V63" i="44"/>
  <c r="T63" i="44"/>
  <c r="I63" i="44"/>
  <c r="D63" i="44"/>
  <c r="U62" i="44"/>
  <c r="T62" i="44"/>
  <c r="Q62" i="44"/>
  <c r="P62" i="44"/>
  <c r="O62" i="44"/>
  <c r="N62" i="44"/>
  <c r="M62" i="44"/>
  <c r="L62" i="44"/>
  <c r="G62" i="44"/>
  <c r="D62" i="44"/>
  <c r="U61" i="44"/>
  <c r="U59" i="44" s="1"/>
  <c r="T61" i="44"/>
  <c r="R61" i="44"/>
  <c r="Q61" i="44"/>
  <c r="P61" i="44"/>
  <c r="O61" i="44"/>
  <c r="O59" i="44" s="1"/>
  <c r="N61" i="44"/>
  <c r="L61" i="44"/>
  <c r="K61" i="44"/>
  <c r="D61" i="44"/>
  <c r="V60" i="44"/>
  <c r="T60" i="44"/>
  <c r="I60" i="44"/>
  <c r="I59" i="44" s="1"/>
  <c r="D60" i="44"/>
  <c r="D59" i="44" s="1"/>
  <c r="N59" i="44"/>
  <c r="N56" i="44" s="1"/>
  <c r="V58" i="44"/>
  <c r="U58" i="44"/>
  <c r="U57" i="44" s="1"/>
  <c r="R58" i="44"/>
  <c r="R57" i="44" s="1"/>
  <c r="Q58" i="44"/>
  <c r="Q57" i="44" s="1"/>
  <c r="P58" i="44"/>
  <c r="O58" i="44"/>
  <c r="O57" i="44" s="1"/>
  <c r="N58" i="44"/>
  <c r="N57" i="44" s="1"/>
  <c r="M58" i="44"/>
  <c r="M57" i="44" s="1"/>
  <c r="L58" i="44"/>
  <c r="K58" i="44"/>
  <c r="H58" i="44"/>
  <c r="F58" i="44"/>
  <c r="F57" i="44" s="1"/>
  <c r="D58" i="44"/>
  <c r="V57" i="44"/>
  <c r="P57" i="44"/>
  <c r="L57" i="44"/>
  <c r="G57" i="44"/>
  <c r="D57" i="44"/>
  <c r="D56" i="44" s="1"/>
  <c r="T55" i="44"/>
  <c r="R55" i="44"/>
  <c r="Q55" i="44"/>
  <c r="P55" i="44"/>
  <c r="O55" i="44"/>
  <c r="N55" i="44"/>
  <c r="M55" i="44"/>
  <c r="L55" i="44"/>
  <c r="L52" i="44" s="1"/>
  <c r="K55" i="44"/>
  <c r="G55" i="44"/>
  <c r="V55" i="44" s="1"/>
  <c r="F55" i="44"/>
  <c r="D55" i="44"/>
  <c r="T54" i="44"/>
  <c r="R54" i="44"/>
  <c r="R52" i="44" s="1"/>
  <c r="Q54" i="44"/>
  <c r="P54" i="44"/>
  <c r="O54" i="44"/>
  <c r="N54" i="44"/>
  <c r="M54" i="44"/>
  <c r="L54" i="44"/>
  <c r="K54" i="44"/>
  <c r="H54" i="44"/>
  <c r="G54" i="44"/>
  <c r="V54" i="44" s="1"/>
  <c r="F54" i="44"/>
  <c r="D54" i="44"/>
  <c r="V53" i="44"/>
  <c r="T53" i="44"/>
  <c r="R53" i="44"/>
  <c r="Q53" i="44"/>
  <c r="P53" i="44"/>
  <c r="O53" i="44"/>
  <c r="N53" i="44"/>
  <c r="M53" i="44"/>
  <c r="L53" i="44"/>
  <c r="K53" i="44"/>
  <c r="G53" i="44"/>
  <c r="F53" i="44"/>
  <c r="D53" i="44"/>
  <c r="D52" i="44" s="1"/>
  <c r="S52" i="44"/>
  <c r="N52" i="44"/>
  <c r="U51" i="44"/>
  <c r="T51" i="44"/>
  <c r="R51" i="44"/>
  <c r="Q51" i="44"/>
  <c r="P51" i="44"/>
  <c r="O51" i="44"/>
  <c r="N51" i="44"/>
  <c r="M51" i="44"/>
  <c r="L51" i="44"/>
  <c r="K51" i="44"/>
  <c r="H51" i="44"/>
  <c r="G51" i="44"/>
  <c r="V51" i="44" s="1"/>
  <c r="F51" i="44"/>
  <c r="D51" i="44"/>
  <c r="U50" i="44"/>
  <c r="U49" i="44" s="1"/>
  <c r="R50" i="44"/>
  <c r="Q50" i="44"/>
  <c r="P50" i="44"/>
  <c r="O50" i="44"/>
  <c r="N50" i="44"/>
  <c r="M50" i="44"/>
  <c r="M49" i="44" s="1"/>
  <c r="L50" i="44"/>
  <c r="H50" i="44"/>
  <c r="G50" i="44"/>
  <c r="F50" i="44"/>
  <c r="D50" i="44"/>
  <c r="D49" i="44" s="1"/>
  <c r="R49" i="44"/>
  <c r="Q49" i="44"/>
  <c r="U47" i="44"/>
  <c r="R47" i="44"/>
  <c r="Q47" i="44"/>
  <c r="P47" i="44"/>
  <c r="O47" i="44"/>
  <c r="N47" i="44"/>
  <c r="M47" i="44"/>
  <c r="L47" i="44"/>
  <c r="K47" i="44"/>
  <c r="H47" i="44"/>
  <c r="T47" i="44" s="1"/>
  <c r="G47" i="44"/>
  <c r="V47" i="44" s="1"/>
  <c r="F47" i="44"/>
  <c r="D47" i="44"/>
  <c r="V46" i="44"/>
  <c r="U46" i="44"/>
  <c r="R46" i="44"/>
  <c r="Q46" i="44"/>
  <c r="P46" i="44"/>
  <c r="P44" i="44" s="1"/>
  <c r="P43" i="44" s="1"/>
  <c r="O46" i="44"/>
  <c r="N46" i="44"/>
  <c r="M46" i="44"/>
  <c r="L46" i="44"/>
  <c r="L44" i="44" s="1"/>
  <c r="L43" i="44" s="1"/>
  <c r="K46" i="44"/>
  <c r="H46" i="44"/>
  <c r="T46" i="44" s="1"/>
  <c r="F46" i="44"/>
  <c r="F44" i="44" s="1"/>
  <c r="F43" i="44" s="1"/>
  <c r="D46" i="44"/>
  <c r="U45" i="44"/>
  <c r="U44" i="44" s="1"/>
  <c r="U43" i="44" s="1"/>
  <c r="R45" i="44"/>
  <c r="Q45" i="44"/>
  <c r="P45" i="44"/>
  <c r="O45" i="44"/>
  <c r="N45" i="44"/>
  <c r="M45" i="44"/>
  <c r="L45" i="44"/>
  <c r="K45" i="44"/>
  <c r="K44" i="44" s="1"/>
  <c r="K43" i="44" s="1"/>
  <c r="H45" i="44"/>
  <c r="F45" i="44"/>
  <c r="D45" i="44"/>
  <c r="D44" i="44" s="1"/>
  <c r="D43" i="44" s="1"/>
  <c r="O44" i="44"/>
  <c r="O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s="1"/>
  <c r="F40" i="44"/>
  <c r="D40" i="44"/>
  <c r="I40" i="44" s="1"/>
  <c r="U39" i="44"/>
  <c r="U70" i="44" s="1"/>
  <c r="R39" i="44"/>
  <c r="Q39" i="44"/>
  <c r="P39" i="44"/>
  <c r="O39" i="44"/>
  <c r="N39" i="44"/>
  <c r="N70" i="44" s="1"/>
  <c r="M39" i="44"/>
  <c r="K39" i="44"/>
  <c r="H39" i="44"/>
  <c r="T39" i="44" s="1"/>
  <c r="G39" i="44"/>
  <c r="G70" i="44" s="1"/>
  <c r="D39" i="44"/>
  <c r="D70" i="44" s="1"/>
  <c r="U38" i="44"/>
  <c r="R38" i="44"/>
  <c r="P38" i="44"/>
  <c r="M38" i="44"/>
  <c r="K38" i="44"/>
  <c r="H38" i="44"/>
  <c r="G38" i="44"/>
  <c r="V38" i="44" s="1"/>
  <c r="D38" i="44"/>
  <c r="D69" i="44" s="1"/>
  <c r="D75" i="44" s="1"/>
  <c r="G37" i="44"/>
  <c r="U36" i="44"/>
  <c r="T36" i="44"/>
  <c r="R36" i="44"/>
  <c r="Q36" i="44"/>
  <c r="P36" i="44"/>
  <c r="O36" i="44"/>
  <c r="N36" i="44"/>
  <c r="N34" i="44" s="1"/>
  <c r="M36" i="44"/>
  <c r="L36" i="44"/>
  <c r="K36" i="44"/>
  <c r="H36" i="44"/>
  <c r="G36" i="44"/>
  <c r="V36" i="44" s="1"/>
  <c r="F36" i="44"/>
  <c r="D36" i="44"/>
  <c r="U35" i="44"/>
  <c r="R35" i="44"/>
  <c r="Q35" i="44"/>
  <c r="Q34" i="44" s="1"/>
  <c r="P35" i="44"/>
  <c r="P34" i="44" s="1"/>
  <c r="O35" i="44"/>
  <c r="O34" i="44" s="1"/>
  <c r="N35" i="44"/>
  <c r="M35" i="44"/>
  <c r="L35" i="44"/>
  <c r="K35" i="44"/>
  <c r="H35" i="44"/>
  <c r="G35" i="44"/>
  <c r="F35" i="44"/>
  <c r="F34" i="44" s="1"/>
  <c r="D35" i="44"/>
  <c r="R34" i="44"/>
  <c r="K34" i="44"/>
  <c r="D34" i="44"/>
  <c r="V32" i="44"/>
  <c r="V30" i="44" s="1"/>
  <c r="U32" i="44"/>
  <c r="U30" i="44" s="1"/>
  <c r="Q32" i="44"/>
  <c r="P32" i="44"/>
  <c r="O32" i="44"/>
  <c r="N32" i="44"/>
  <c r="M32" i="44"/>
  <c r="L32" i="44"/>
  <c r="L30" i="44" s="1"/>
  <c r="K32" i="44"/>
  <c r="H32" i="44"/>
  <c r="T32" i="44" s="1"/>
  <c r="G32" i="44"/>
  <c r="G30" i="44" s="1"/>
  <c r="F32" i="44"/>
  <c r="D32" i="44"/>
  <c r="I32" i="44" s="1"/>
  <c r="V31" i="44"/>
  <c r="U31" i="44"/>
  <c r="T31" i="44"/>
  <c r="T30" i="44" s="1"/>
  <c r="Q31" i="44"/>
  <c r="Q30" i="44" s="1"/>
  <c r="P31" i="44"/>
  <c r="O31" i="44"/>
  <c r="O30" i="44" s="1"/>
  <c r="N31" i="44"/>
  <c r="M31" i="44"/>
  <c r="M30" i="44" s="1"/>
  <c r="L31" i="44"/>
  <c r="K31" i="44"/>
  <c r="I31" i="44"/>
  <c r="I30" i="44" s="1"/>
  <c r="H31" i="44"/>
  <c r="H30" i="44" s="1"/>
  <c r="F31" i="44"/>
  <c r="D31" i="44"/>
  <c r="D30" i="44" s="1"/>
  <c r="S30" i="44"/>
  <c r="P30" i="44"/>
  <c r="K30" i="44"/>
  <c r="F30" i="44"/>
  <c r="V29" i="44"/>
  <c r="U29" i="44"/>
  <c r="Q29" i="44"/>
  <c r="P29" i="44"/>
  <c r="O29" i="44"/>
  <c r="N29" i="44"/>
  <c r="M29" i="44"/>
  <c r="L29" i="44"/>
  <c r="K29" i="44"/>
  <c r="H29" i="44"/>
  <c r="T29" i="44" s="1"/>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V26" i="44"/>
  <c r="U26" i="44"/>
  <c r="R26" i="44"/>
  <c r="P26" i="44"/>
  <c r="O26" i="44"/>
  <c r="N26" i="44"/>
  <c r="M26" i="44"/>
  <c r="K26" i="44"/>
  <c r="H26" i="44"/>
  <c r="T26" i="44" s="1"/>
  <c r="G26" i="44"/>
  <c r="D26" i="44"/>
  <c r="U25" i="44"/>
  <c r="Q25" i="44"/>
  <c r="P25" i="44"/>
  <c r="O25" i="44"/>
  <c r="O22" i="44" s="1"/>
  <c r="N25" i="44"/>
  <c r="M25" i="44"/>
  <c r="K25" i="44"/>
  <c r="H25" i="44"/>
  <c r="T25" i="44" s="1"/>
  <c r="G25" i="44"/>
  <c r="V25" i="44" s="1"/>
  <c r="F25" i="44"/>
  <c r="D25" i="44"/>
  <c r="V24" i="44"/>
  <c r="V72" i="44" s="1"/>
  <c r="U24" i="44"/>
  <c r="Q24" i="44"/>
  <c r="P24" i="44"/>
  <c r="O24" i="44"/>
  <c r="N24" i="44"/>
  <c r="M24" i="44"/>
  <c r="K24" i="44"/>
  <c r="H24" i="44"/>
  <c r="G24" i="44"/>
  <c r="G72" i="44" s="1"/>
  <c r="F24" i="44"/>
  <c r="D24" i="44"/>
  <c r="D72" i="44" s="1"/>
  <c r="V23" i="44"/>
  <c r="V22" i="44" s="1"/>
  <c r="U23" i="44"/>
  <c r="R23" i="44"/>
  <c r="Q23" i="44"/>
  <c r="P23" i="44"/>
  <c r="O23" i="44"/>
  <c r="N23" i="44"/>
  <c r="M23" i="44"/>
  <c r="L23" i="44"/>
  <c r="H23" i="44"/>
  <c r="G23" i="44"/>
  <c r="F23" i="44"/>
  <c r="D23" i="44"/>
  <c r="D22" i="44" s="1"/>
  <c r="S22" i="44"/>
  <c r="G22" i="44"/>
  <c r="U21" i="44"/>
  <c r="R21" i="44"/>
  <c r="Q21" i="44"/>
  <c r="P21" i="44"/>
  <c r="O21" i="44"/>
  <c r="N21" i="44"/>
  <c r="M21" i="44"/>
  <c r="L21" i="44"/>
  <c r="H21" i="44"/>
  <c r="T21" i="44" s="1"/>
  <c r="G21" i="44"/>
  <c r="V21" i="44" s="1"/>
  <c r="F21" i="44"/>
  <c r="F17" i="44" s="1"/>
  <c r="D21" i="44"/>
  <c r="U20" i="44"/>
  <c r="Q20" i="44"/>
  <c r="P20" i="44"/>
  <c r="O20" i="44"/>
  <c r="O71" i="44" s="1"/>
  <c r="N20" i="44"/>
  <c r="M20" i="44"/>
  <c r="L20" i="44"/>
  <c r="K20" i="44"/>
  <c r="H20" i="44"/>
  <c r="T20" i="44" s="1"/>
  <c r="F20" i="44"/>
  <c r="D20" i="44"/>
  <c r="D71" i="44" s="1"/>
  <c r="U19" i="44"/>
  <c r="T19" i="44"/>
  <c r="Q19" i="44"/>
  <c r="P19" i="44"/>
  <c r="P17" i="44" s="1"/>
  <c r="O19" i="44"/>
  <c r="N19" i="44"/>
  <c r="M19" i="44"/>
  <c r="L19" i="44"/>
  <c r="K19" i="44"/>
  <c r="G19" i="44"/>
  <c r="V19" i="44" s="1"/>
  <c r="D19" i="44"/>
  <c r="I19" i="44" s="1"/>
  <c r="U18" i="44"/>
  <c r="Q18" i="44"/>
  <c r="P18" i="44"/>
  <c r="O18" i="44"/>
  <c r="O17" i="44" s="1"/>
  <c r="N18" i="44"/>
  <c r="M18" i="44"/>
  <c r="L18" i="44"/>
  <c r="K18" i="44"/>
  <c r="H18" i="44"/>
  <c r="G18" i="44"/>
  <c r="V18" i="44" s="1"/>
  <c r="V17" i="44" s="1"/>
  <c r="F18" i="44"/>
  <c r="D18" i="44"/>
  <c r="D17" i="44" s="1"/>
  <c r="S17" i="44"/>
  <c r="G17" i="44"/>
  <c r="U16" i="44"/>
  <c r="T16" i="44"/>
  <c r="Q16" i="44"/>
  <c r="P16" i="44"/>
  <c r="O16" i="44"/>
  <c r="N16" i="44"/>
  <c r="M16" i="44"/>
  <c r="L16" i="44"/>
  <c r="K16" i="44"/>
  <c r="G16" i="44"/>
  <c r="V16" i="44" s="1"/>
  <c r="D16" i="44"/>
  <c r="I16" i="44" s="1"/>
  <c r="V15" i="44"/>
  <c r="U15" i="44"/>
  <c r="T15" i="44"/>
  <c r="Q15" i="44"/>
  <c r="P15" i="44"/>
  <c r="O15" i="44"/>
  <c r="N15" i="44"/>
  <c r="M15" i="44"/>
  <c r="L15" i="44"/>
  <c r="D15" i="44"/>
  <c r="I15" i="44" s="1"/>
  <c r="U14" i="44"/>
  <c r="U13" i="44" s="1"/>
  <c r="T14" i="44"/>
  <c r="T13" i="44" s="1"/>
  <c r="Q14" i="44"/>
  <c r="P14" i="44"/>
  <c r="O14" i="44"/>
  <c r="N14" i="44"/>
  <c r="M14" i="44"/>
  <c r="L14" i="44"/>
  <c r="K14" i="44"/>
  <c r="G14" i="44"/>
  <c r="D14" i="44"/>
  <c r="S13" i="44"/>
  <c r="H13" i="44"/>
  <c r="F13" i="44"/>
  <c r="D13" i="44"/>
  <c r="V11" i="44"/>
  <c r="U11" i="44"/>
  <c r="Q11" i="44"/>
  <c r="P11" i="44"/>
  <c r="O11" i="44"/>
  <c r="N11" i="44"/>
  <c r="M11" i="44"/>
  <c r="L11" i="44"/>
  <c r="K11" i="44"/>
  <c r="H11" i="44"/>
  <c r="T11" i="44" s="1"/>
  <c r="G11" i="44"/>
  <c r="F11" i="44"/>
  <c r="D11" i="44"/>
  <c r="I11" i="44" s="1"/>
  <c r="U10" i="44"/>
  <c r="U9" i="44" s="1"/>
  <c r="U8" i="44" s="1"/>
  <c r="Q10" i="44"/>
  <c r="P10" i="44"/>
  <c r="O10" i="44"/>
  <c r="N10" i="44"/>
  <c r="N74" i="44" s="1"/>
  <c r="M10" i="44"/>
  <c r="L10" i="44"/>
  <c r="K10" i="44"/>
  <c r="H10" i="44"/>
  <c r="T10" i="44" s="1"/>
  <c r="G10" i="44"/>
  <c r="G74" i="44" s="1"/>
  <c r="F10" i="44"/>
  <c r="D10" i="44"/>
  <c r="H9" i="44"/>
  <c r="H8" i="44" s="1"/>
  <c r="G9" i="44"/>
  <c r="G8" i="44" s="1"/>
  <c r="U7" i="44"/>
  <c r="T7" i="44"/>
  <c r="Q7" i="44"/>
  <c r="P7" i="44"/>
  <c r="O7" i="44"/>
  <c r="N7" i="44"/>
  <c r="M7" i="44"/>
  <c r="L7" i="44"/>
  <c r="K7" i="44"/>
  <c r="G7" i="44"/>
  <c r="V7" i="44" s="1"/>
  <c r="D7" i="44"/>
  <c r="V6" i="44"/>
  <c r="U6" i="44"/>
  <c r="T6" i="44"/>
  <c r="R6" i="44"/>
  <c r="Q6" i="44"/>
  <c r="P6" i="44"/>
  <c r="O6" i="44"/>
  <c r="O4" i="44" s="1"/>
  <c r="O3" i="44" s="1"/>
  <c r="N6" i="44"/>
  <c r="M6" i="44"/>
  <c r="L6" i="44"/>
  <c r="K6" i="44"/>
  <c r="I6" i="44"/>
  <c r="D6" i="44"/>
  <c r="U5" i="44"/>
  <c r="T5" i="44"/>
  <c r="Q5" i="44"/>
  <c r="P5" i="44"/>
  <c r="O5" i="44"/>
  <c r="N5" i="44"/>
  <c r="M5" i="44"/>
  <c r="L5" i="44"/>
  <c r="K5" i="44"/>
  <c r="I5" i="44"/>
  <c r="G5" i="44"/>
  <c r="D5" i="44"/>
  <c r="D73" i="44" s="1"/>
  <c r="S4" i="44"/>
  <c r="N4" i="44"/>
  <c r="N3" i="44" s="1"/>
  <c r="H4" i="44"/>
  <c r="H3" i="44" s="1"/>
  <c r="F4" i="44"/>
  <c r="D4" i="44"/>
  <c r="D3" i="44" s="1"/>
  <c r="S3" i="44"/>
  <c r="F3" i="44"/>
  <c r="W83" i="43"/>
  <c r="W79" i="43"/>
  <c r="S77" i="43"/>
  <c r="BB75" i="43"/>
  <c r="BP73" i="43"/>
  <c r="BO73" i="43"/>
  <c r="BN73" i="43"/>
  <c r="BK73" i="43"/>
  <c r="BJ73" i="43"/>
  <c r="BF73" i="43"/>
  <c r="BD73" i="43"/>
  <c r="BB73" i="43"/>
  <c r="AX73" i="43"/>
  <c r="AV73" i="43"/>
  <c r="AO73" i="43"/>
  <c r="AM73" i="43"/>
  <c r="AL73" i="43"/>
  <c r="AK73" i="43"/>
  <c r="AJ73" i="43"/>
  <c r="AJ75" i="43" s="1"/>
  <c r="AI73" i="43"/>
  <c r="AG73" i="43"/>
  <c r="AF73" i="43"/>
  <c r="AB73" i="43"/>
  <c r="Z73" i="43"/>
  <c r="T73" i="43"/>
  <c r="S73" i="43"/>
  <c r="Q73" i="43"/>
  <c r="BJ72" i="43"/>
  <c r="BI72" i="43"/>
  <c r="BI73" i="43" s="1"/>
  <c r="BH72" i="43"/>
  <c r="BH73" i="43" s="1"/>
  <c r="BF72" i="43"/>
  <c r="BQ72" i="43" s="1"/>
  <c r="BR72" i="43" s="1"/>
  <c r="AU72" i="43"/>
  <c r="AW72" i="43" s="1"/>
  <c r="AT72" i="43"/>
  <c r="AQ72" i="43"/>
  <c r="Z72" i="43"/>
  <c r="X72" i="43"/>
  <c r="W72" i="43"/>
  <c r="U72" i="43"/>
  <c r="BL71" i="43"/>
  <c r="BL73" i="43" s="1"/>
  <c r="AW71" i="43"/>
  <c r="BM71" i="43" s="1"/>
  <c r="AT71" i="43"/>
  <c r="AS71" i="43"/>
  <c r="AQ71" i="43"/>
  <c r="Z71" i="43"/>
  <c r="AC71" i="43" s="1"/>
  <c r="Y71" i="43"/>
  <c r="W71" i="43"/>
  <c r="U71" i="43"/>
  <c r="BQ70" i="43"/>
  <c r="AY70" i="43"/>
  <c r="AZ70" i="43" s="1"/>
  <c r="AW70" i="43"/>
  <c r="AT70" i="43"/>
  <c r="AS70" i="43"/>
  <c r="AQ70" i="43"/>
  <c r="AC70" i="43"/>
  <c r="AA70" i="43"/>
  <c r="Y70" i="43"/>
  <c r="U70" i="43"/>
  <c r="BG69" i="43"/>
  <c r="AY69" i="43"/>
  <c r="AZ69" i="43" s="1"/>
  <c r="AW69" i="43"/>
  <c r="AT69" i="43"/>
  <c r="AS69" i="43"/>
  <c r="AC69" i="43"/>
  <c r="AA69" i="43"/>
  <c r="Y69" i="43"/>
  <c r="W69" i="43"/>
  <c r="AH69" i="43" s="1"/>
  <c r="AH73" i="43" s="1"/>
  <c r="R69" i="43"/>
  <c r="BQ68" i="43"/>
  <c r="AY68" i="43"/>
  <c r="AZ68" i="43" s="1"/>
  <c r="AT68" i="43"/>
  <c r="AS68" i="43"/>
  <c r="AQ68" i="43"/>
  <c r="AC68" i="43"/>
  <c r="AA68" i="43"/>
  <c r="Y68" i="43"/>
  <c r="U68" i="43"/>
  <c r="AU67" i="43"/>
  <c r="AT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s="1"/>
  <c r="AW64" i="43"/>
  <c r="AT64" i="43"/>
  <c r="AS64" i="43"/>
  <c r="AA64" i="43"/>
  <c r="Z64" i="43"/>
  <c r="W64" i="43"/>
  <c r="AO64" i="43" s="1"/>
  <c r="AQ64" i="43" s="1"/>
  <c r="R64" i="43"/>
  <c r="U64" i="43" s="1"/>
  <c r="BQ63" i="43"/>
  <c r="AW63" i="43"/>
  <c r="AY63" i="43" s="1"/>
  <c r="AZ63" i="43" s="1"/>
  <c r="AT63" i="43"/>
  <c r="AO63" i="43"/>
  <c r="AQ63" i="43" s="1"/>
  <c r="AC63" i="43"/>
  <c r="Y63" i="43"/>
  <c r="W63" i="43"/>
  <c r="U63" i="43"/>
  <c r="BO62" i="43"/>
  <c r="BQ62" i="43" s="1"/>
  <c r="AW62" i="43"/>
  <c r="AT62" i="43"/>
  <c r="AO62" i="43"/>
  <c r="AQ62" i="43" s="1"/>
  <c r="W62" i="43"/>
  <c r="U62" i="43"/>
  <c r="BQ61" i="43"/>
  <c r="AW61" i="43"/>
  <c r="AT61" i="43"/>
  <c r="Y61" i="43"/>
  <c r="W61" i="43"/>
  <c r="U61" i="43"/>
  <c r="BO60" i="43"/>
  <c r="BQ60" i="43" s="1"/>
  <c r="AY60" i="43"/>
  <c r="AZ60" i="43" s="1"/>
  <c r="AT60" i="43"/>
  <c r="AC60" i="43"/>
  <c r="AA60" i="43"/>
  <c r="W60" i="43"/>
  <c r="AO60" i="43" s="1"/>
  <c r="AQ60" i="43" s="1"/>
  <c r="U60" i="43"/>
  <c r="BO59" i="43"/>
  <c r="BQ59" i="43" s="1"/>
  <c r="AT59" i="43"/>
  <c r="W59" i="43"/>
  <c r="AO59" i="43" s="1"/>
  <c r="AQ59" i="43" s="1"/>
  <c r="U59" i="43"/>
  <c r="BO58" i="43"/>
  <c r="BQ58" i="43" s="1"/>
  <c r="AT58" i="43"/>
  <c r="W58" i="43"/>
  <c r="U58" i="43"/>
  <c r="BQ57" i="43"/>
  <c r="BO57" i="43"/>
  <c r="AW57" i="43"/>
  <c r="AT57" i="43"/>
  <c r="W57" i="43"/>
  <c r="U57" i="43"/>
  <c r="BO56" i="43"/>
  <c r="AT56" i="43"/>
  <c r="AS56" i="43"/>
  <c r="AU56" i="43" s="1"/>
  <c r="Z56" i="43"/>
  <c r="W56" i="43"/>
  <c r="U56" i="43"/>
  <c r="AW55" i="43"/>
  <c r="AT55" i="43"/>
  <c r="AQ55" i="43"/>
  <c r="Z55" i="43"/>
  <c r="Z65" i="43" s="1"/>
  <c r="W55" i="43"/>
  <c r="Y55" i="43" s="1"/>
  <c r="U55" i="43"/>
  <c r="BE54" i="43"/>
  <c r="BQ54" i="43" s="1"/>
  <c r="AT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s="1"/>
  <c r="AU51" i="43"/>
  <c r="AU52" i="43" s="1"/>
  <c r="AT51" i="43"/>
  <c r="AS51" i="43"/>
  <c r="AQ51" i="43"/>
  <c r="AC51" i="43"/>
  <c r="AA51" i="43"/>
  <c r="Y51" i="43"/>
  <c r="U51" i="43"/>
  <c r="AW50" i="43"/>
  <c r="BM50" i="43" s="1"/>
  <c r="AT50" i="43"/>
  <c r="AQ50" i="43"/>
  <c r="Z50" i="43"/>
  <c r="W50" i="43"/>
  <c r="Y50" i="43" s="1"/>
  <c r="Y52" i="43" s="1"/>
  <c r="U50" i="43"/>
  <c r="BQ49" i="43"/>
  <c r="AW49" i="43"/>
  <c r="AT49" i="43"/>
  <c r="AQ49" i="43"/>
  <c r="Z49" i="43"/>
  <c r="Z52" i="43" s="1"/>
  <c r="W49" i="43"/>
  <c r="AS49" i="43" s="1"/>
  <c r="AS52" i="43" s="1"/>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AA44" i="43" s="1"/>
  <c r="W44" i="43"/>
  <c r="Y44" i="43" s="1"/>
  <c r="U44" i="43"/>
  <c r="BF43" i="43"/>
  <c r="AT43" i="43"/>
  <c r="AQ43" i="43"/>
  <c r="Z43" i="43"/>
  <c r="X43" i="43"/>
  <c r="W43" i="43"/>
  <c r="AY43" i="43" s="1"/>
  <c r="AZ43" i="43" s="1"/>
  <c r="U43" i="43"/>
  <c r="BM42" i="43"/>
  <c r="BK42" i="43"/>
  <c r="BK47" i="43" s="1"/>
  <c r="BG42" i="43"/>
  <c r="BG47" i="43" s="1"/>
  <c r="AT42" i="43"/>
  <c r="AG42" i="43"/>
  <c r="Z42" i="43"/>
  <c r="X42" i="43"/>
  <c r="W42" i="43"/>
  <c r="U42" i="43"/>
  <c r="BQ41" i="43"/>
  <c r="AY41" i="43"/>
  <c r="AZ41" i="43" s="1"/>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s="1"/>
  <c r="AT37" i="43"/>
  <c r="AU37" i="43" s="1"/>
  <c r="AU38" i="43" s="1"/>
  <c r="Z37" i="43"/>
  <c r="W37" i="43"/>
  <c r="AM37" i="43" s="1"/>
  <c r="AQ37" i="43" s="1"/>
  <c r="U37" i="43"/>
  <c r="BQ36" i="43"/>
  <c r="AY36" i="43"/>
  <c r="AZ36" i="43" s="1"/>
  <c r="AT36" i="43"/>
  <c r="AS36" i="43"/>
  <c r="AR36" i="43"/>
  <c r="AA36" i="43"/>
  <c r="Y36" i="43"/>
  <c r="W36" i="43"/>
  <c r="AM36" i="43" s="1"/>
  <c r="AQ36" i="43" s="1"/>
  <c r="U36" i="43"/>
  <c r="BQ35" i="43"/>
  <c r="AT35" i="43"/>
  <c r="AS35" i="43"/>
  <c r="AC35" i="43"/>
  <c r="AA35" i="43"/>
  <c r="W35" i="43"/>
  <c r="AM35" i="43" s="1"/>
  <c r="AQ35" i="43" s="1"/>
  <c r="U35" i="43"/>
  <c r="BQ34" i="43"/>
  <c r="AT34" i="43"/>
  <c r="AS34" i="43"/>
  <c r="W34" i="43"/>
  <c r="U34" i="43"/>
  <c r="BQ33" i="43"/>
  <c r="AT33" i="43"/>
  <c r="W33" i="43"/>
  <c r="U33" i="43"/>
  <c r="BK32" i="43"/>
  <c r="BF32" i="43"/>
  <c r="BQ32" i="43" s="1"/>
  <c r="BD32" i="43"/>
  <c r="BD38" i="43" s="1"/>
  <c r="AW32" i="43"/>
  <c r="AY32" i="43" s="1"/>
  <c r="AZ32" i="43" s="1"/>
  <c r="AT32" i="43"/>
  <c r="AR32" i="43"/>
  <c r="AQ32" i="43"/>
  <c r="Z32" i="43"/>
  <c r="W32" i="43"/>
  <c r="U32" i="43"/>
  <c r="BK31" i="43"/>
  <c r="BK38" i="43" s="1"/>
  <c r="BF31" i="43"/>
  <c r="AW31" i="43"/>
  <c r="AT31" i="43"/>
  <c r="AS31" i="43"/>
  <c r="AQ31" i="43"/>
  <c r="AL31" i="43"/>
  <c r="AL38" i="43" s="1"/>
  <c r="W31" i="43"/>
  <c r="U31" i="43"/>
  <c r="BF30" i="43"/>
  <c r="BQ30" i="43" s="1"/>
  <c r="AW30" i="43"/>
  <c r="AT30" i="43"/>
  <c r="Z30" i="43"/>
  <c r="AA30" i="43" s="1"/>
  <c r="W30" i="43"/>
  <c r="U30" i="43"/>
  <c r="BF29" i="43"/>
  <c r="BQ29" i="43" s="1"/>
  <c r="AW29" i="43"/>
  <c r="AT29" i="43"/>
  <c r="AM29" i="43"/>
  <c r="AQ29" i="43" s="1"/>
  <c r="Z29" i="43"/>
  <c r="W29" i="43"/>
  <c r="U29" i="43"/>
  <c r="BQ28" i="43"/>
  <c r="BF28" i="43"/>
  <c r="AW28" i="43"/>
  <c r="AT28" i="43"/>
  <c r="AM28" i="43"/>
  <c r="AQ28" i="43" s="1"/>
  <c r="AC28" i="43"/>
  <c r="Z28" i="43"/>
  <c r="W28" i="43"/>
  <c r="U28" i="43"/>
  <c r="BF27" i="43"/>
  <c r="AW27" i="43"/>
  <c r="AT27" i="43"/>
  <c r="Z27" i="43"/>
  <c r="W27" i="43"/>
  <c r="Y27" i="43" s="1"/>
  <c r="U27" i="43"/>
  <c r="BQ26" i="43"/>
  <c r="AY26" i="43"/>
  <c r="AZ26" i="43" s="1"/>
  <c r="AT26" i="43"/>
  <c r="Z26" i="43"/>
  <c r="W26" i="43"/>
  <c r="AR26" i="43" s="1"/>
  <c r="AR38" i="43" s="1"/>
  <c r="U26" i="43"/>
  <c r="BQ25" i="43"/>
  <c r="AT25" i="43"/>
  <c r="AA25" i="43"/>
  <c r="Z25" i="43"/>
  <c r="W25" i="43"/>
  <c r="AC25" i="43" s="1"/>
  <c r="S25" i="43"/>
  <c r="BQ24" i="43"/>
  <c r="AW24" i="43"/>
  <c r="AT24" i="43"/>
  <c r="Z24" i="43"/>
  <c r="W24" i="43"/>
  <c r="U24" i="43"/>
  <c r="BQ23" i="43"/>
  <c r="AW23" i="43"/>
  <c r="AY23" i="43" s="1"/>
  <c r="AZ23" i="43" s="1"/>
  <c r="AT23" i="43"/>
  <c r="AS23" i="43"/>
  <c r="AM23" i="43"/>
  <c r="AQ23" i="43" s="1"/>
  <c r="AC23" i="43"/>
  <c r="AA23" i="43"/>
  <c r="Y23" i="43"/>
  <c r="U23" i="43"/>
  <c r="BQ22" i="43"/>
  <c r="AW22" i="43"/>
  <c r="AY22" i="43" s="1"/>
  <c r="AZ22" i="43" s="1"/>
  <c r="AT22" i="43"/>
  <c r="AS22" i="43"/>
  <c r="AQ22" i="43"/>
  <c r="AC22" i="43"/>
  <c r="AA22" i="43"/>
  <c r="Y22" i="43"/>
  <c r="U22" i="43"/>
  <c r="BQ21" i="43"/>
  <c r="AW21" i="43"/>
  <c r="AT21" i="43"/>
  <c r="Z21" i="43"/>
  <c r="W21" i="43"/>
  <c r="AC21" i="43" s="1"/>
  <c r="U21" i="43"/>
  <c r="BQ20" i="43"/>
  <c r="AT20" i="43"/>
  <c r="W20" i="43"/>
  <c r="U20" i="43"/>
  <c r="BQ19" i="43"/>
  <c r="AW19" i="43"/>
  <c r="AT19" i="43"/>
  <c r="AS19" i="43"/>
  <c r="AC19" i="43"/>
  <c r="Y19" i="43"/>
  <c r="W19" i="43"/>
  <c r="U19" i="43"/>
  <c r="BQ18" i="43"/>
  <c r="AW18" i="43"/>
  <c r="AT18" i="43"/>
  <c r="AS18" i="43"/>
  <c r="AM18" i="43"/>
  <c r="AQ18" i="43" s="1"/>
  <c r="AA18" i="43"/>
  <c r="Z18" i="43"/>
  <c r="Y18" i="43"/>
  <c r="W18" i="43"/>
  <c r="U18" i="43"/>
  <c r="BE17" i="43"/>
  <c r="AY17" i="43"/>
  <c r="AZ17" i="43" s="1"/>
  <c r="AW17" i="43"/>
  <c r="AT17" i="43"/>
  <c r="AS17" i="43"/>
  <c r="AM17" i="43"/>
  <c r="AQ17" i="43" s="1"/>
  <c r="AC17" i="43"/>
  <c r="AA17" i="43"/>
  <c r="Y17" i="43"/>
  <c r="U17" i="43"/>
  <c r="BQ16" i="43"/>
  <c r="AW16" i="43"/>
  <c r="AT16" i="43"/>
  <c r="AA16" i="43"/>
  <c r="Z16" i="43"/>
  <c r="W16" i="43"/>
  <c r="AS16" i="43" s="1"/>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s="1"/>
  <c r="AZ11" i="43" s="1"/>
  <c r="AT11" i="43"/>
  <c r="AS11" i="43"/>
  <c r="AQ11" i="43"/>
  <c r="AC11" i="43"/>
  <c r="AA11" i="43"/>
  <c r="Y11" i="43"/>
  <c r="U11" i="43"/>
  <c r="BQ10" i="43"/>
  <c r="AW10" i="43"/>
  <c r="AT10" i="43"/>
  <c r="AQ10" i="43"/>
  <c r="Z10" i="43"/>
  <c r="Y10" i="43"/>
  <c r="W10" i="43"/>
  <c r="AY10" i="43" s="1"/>
  <c r="AZ10" i="43" s="1"/>
  <c r="U10" i="43"/>
  <c r="BQ9" i="43"/>
  <c r="AY9" i="43"/>
  <c r="AZ9" i="43" s="1"/>
  <c r="AW9" i="43"/>
  <c r="AT9" i="43"/>
  <c r="AS9" i="43"/>
  <c r="AQ9" i="43"/>
  <c r="Z9" i="43"/>
  <c r="AA9" i="43" s="1"/>
  <c r="Y9" i="43"/>
  <c r="W9" i="43"/>
  <c r="U9" i="43"/>
  <c r="AW8" i="43"/>
  <c r="BM8" i="43" s="1"/>
  <c r="AT8" i="43"/>
  <c r="Z8" i="43"/>
  <c r="Z13" i="43" s="1"/>
  <c r="Y8" i="43"/>
  <c r="Y13" i="43" s="1"/>
  <c r="W8" i="43"/>
  <c r="AC8" i="43" s="1"/>
  <c r="AC13" i="43" s="1"/>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s="1"/>
  <c r="AT5" i="43"/>
  <c r="AS5" i="43"/>
  <c r="Z5" i="43"/>
  <c r="AA5" i="43" s="1"/>
  <c r="W5" i="43"/>
  <c r="AM5" i="43" s="1"/>
  <c r="AQ5" i="43" s="1"/>
  <c r="U5" i="43"/>
  <c r="BQ4" i="43"/>
  <c r="AW4" i="43"/>
  <c r="AY4" i="43" s="1"/>
  <c r="AZ4" i="43" s="1"/>
  <c r="AS4" i="43"/>
  <c r="AQ4" i="43"/>
  <c r="AC4" i="43"/>
  <c r="AA4" i="43"/>
  <c r="Y4" i="43"/>
  <c r="U4" i="43"/>
  <c r="BQ3" i="43"/>
  <c r="BQ6" i="43" s="1"/>
  <c r="AW3" i="43"/>
  <c r="AT3" i="43"/>
  <c r="Z3" i="43"/>
  <c r="Z6" i="43" s="1"/>
  <c r="W3" i="43"/>
  <c r="U3" i="43"/>
  <c r="U6" i="43" s="1"/>
  <c r="BT204" i="40"/>
  <c r="BT202" i="40"/>
  <c r="AR202" i="40"/>
  <c r="AR204" i="40" s="1"/>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s="1"/>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s="1"/>
  <c r="CD193" i="40" s="1"/>
  <c r="CC185" i="40"/>
  <c r="CC191" i="40" s="1"/>
  <c r="CC193" i="40" s="1"/>
  <c r="CB185" i="40"/>
  <c r="CA185" i="40"/>
  <c r="BZ185" i="40"/>
  <c r="BY185" i="40"/>
  <c r="BX185" i="40"/>
  <c r="BX191" i="40" s="1"/>
  <c r="BX193" i="40" s="1"/>
  <c r="BW185" i="40"/>
  <c r="BV185" i="40"/>
  <c r="BU185" i="40"/>
  <c r="BQ185" i="40"/>
  <c r="BD185" i="40"/>
  <c r="BC185" i="40"/>
  <c r="BB185" i="40"/>
  <c r="BB191" i="40" s="1"/>
  <c r="BB193" i="40" s="1"/>
  <c r="AZ185" i="40"/>
  <c r="AX185" i="40"/>
  <c r="AW185" i="40"/>
  <c r="AW191" i="40" s="1"/>
  <c r="AW193" i="40" s="1"/>
  <c r="AV185" i="40"/>
  <c r="AV191" i="40" s="1"/>
  <c r="AV193" i="40" s="1"/>
  <c r="AS185" i="40"/>
  <c r="AP185" i="40"/>
  <c r="AO185" i="40"/>
  <c r="AN185" i="40"/>
  <c r="AM185" i="40"/>
  <c r="AL185" i="40"/>
  <c r="AK185" i="40"/>
  <c r="AJ185" i="40"/>
  <c r="AG185" i="40"/>
  <c r="AF185" i="40"/>
  <c r="AE185" i="40"/>
  <c r="AC185" i="40"/>
  <c r="AB185" i="40"/>
  <c r="AB191" i="40" s="1"/>
  <c r="AB193" i="40" s="1"/>
  <c r="AB197" i="40" s="1"/>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s="1"/>
  <c r="AR180" i="40"/>
  <c r="AD180" i="40"/>
  <c r="X180" i="40"/>
  <c r="U180" i="40"/>
  <c r="BS180" i="40" s="1"/>
  <c r="CG180" i="40" s="1"/>
  <c r="S180" i="40"/>
  <c r="CT179" i="40"/>
  <c r="CS179" i="40"/>
  <c r="CR179" i="40"/>
  <c r="CQ179" i="40"/>
  <c r="CP179" i="40"/>
  <c r="CO179" i="40"/>
  <c r="CN179" i="40"/>
  <c r="CM179" i="40"/>
  <c r="CL179" i="40"/>
  <c r="CK179" i="40"/>
  <c r="CJ179" i="40"/>
  <c r="CI179" i="40"/>
  <c r="BT179" i="40"/>
  <c r="BS179" i="40"/>
  <c r="CG179" i="40" s="1"/>
  <c r="BR179" i="40"/>
  <c r="BQ179" i="40"/>
  <c r="BP179" i="40"/>
  <c r="BO179" i="40"/>
  <c r="BN179" i="40"/>
  <c r="BM179" i="40"/>
  <c r="BL179" i="40"/>
  <c r="BK179" i="40"/>
  <c r="BJ179" i="40"/>
  <c r="BI179" i="40"/>
  <c r="BH179" i="40"/>
  <c r="BG179" i="40"/>
  <c r="AR179" i="40"/>
  <c r="AQ179" i="40" s="1"/>
  <c r="BE179" i="40" s="1"/>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s="1"/>
  <c r="AI178" i="40"/>
  <c r="W178" i="40"/>
  <c r="U178" i="40" s="1"/>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s="1"/>
  <c r="BH177" i="40"/>
  <c r="BG177" i="40"/>
  <c r="BE177" i="40"/>
  <c r="AR177" i="40"/>
  <c r="AQ177" i="40"/>
  <c r="U177" i="40"/>
  <c r="BS177" i="40" s="1"/>
  <c r="CG177" i="40" s="1"/>
  <c r="CT176" i="40"/>
  <c r="CS176" i="40"/>
  <c r="CR176" i="40"/>
  <c r="CQ176" i="40"/>
  <c r="CP176" i="40"/>
  <c r="CO176" i="40"/>
  <c r="CN176" i="40"/>
  <c r="CM176" i="40"/>
  <c r="CL176" i="40"/>
  <c r="CK176" i="40"/>
  <c r="CJ176" i="40"/>
  <c r="BT176" i="40"/>
  <c r="BS176" i="40"/>
  <c r="CG176" i="40" s="1"/>
  <c r="BR176" i="40"/>
  <c r="BQ176" i="40"/>
  <c r="BP176" i="40"/>
  <c r="BO176" i="40"/>
  <c r="BN176" i="40"/>
  <c r="BM176" i="40"/>
  <c r="BL176" i="40"/>
  <c r="BK176" i="40"/>
  <c r="BJ176" i="40"/>
  <c r="BI176" i="40"/>
  <c r="BH176" i="40"/>
  <c r="AR176" i="40"/>
  <c r="AQ176" i="40" s="1"/>
  <c r="BE176" i="40" s="1"/>
  <c r="V176" i="40"/>
  <c r="U176" i="40"/>
  <c r="CT175" i="40"/>
  <c r="CS175" i="40"/>
  <c r="CR175" i="40"/>
  <c r="CQ175" i="40"/>
  <c r="CP175" i="40"/>
  <c r="CO175" i="40"/>
  <c r="CN175" i="40"/>
  <c r="CM175" i="40"/>
  <c r="CL175" i="40"/>
  <c r="CK175" i="40"/>
  <c r="CJ175" i="40"/>
  <c r="CI175" i="40"/>
  <c r="CH175" i="40"/>
  <c r="BT175" i="40"/>
  <c r="BS175" i="40" s="1"/>
  <c r="CG175" i="40" s="1"/>
  <c r="BR175" i="40"/>
  <c r="BQ175" i="40"/>
  <c r="BP175" i="40"/>
  <c r="BO175" i="40"/>
  <c r="BN175" i="40"/>
  <c r="BM175" i="40"/>
  <c r="BL175" i="40"/>
  <c r="BF175" i="40" s="1"/>
  <c r="BK175" i="40"/>
  <c r="BJ175" i="40"/>
  <c r="BI175" i="40"/>
  <c r="BH175" i="40"/>
  <c r="BG175" i="40"/>
  <c r="AR175" i="40"/>
  <c r="AQ175" i="40"/>
  <c r="BE175" i="40" s="1"/>
  <c r="U175" i="40"/>
  <c r="CT174" i="40"/>
  <c r="CS174" i="40"/>
  <c r="CR174" i="40"/>
  <c r="CQ174" i="40"/>
  <c r="CP174" i="40"/>
  <c r="CO174" i="40"/>
  <c r="CN174" i="40"/>
  <c r="CM174" i="40"/>
  <c r="CL174" i="40"/>
  <c r="CK174" i="40"/>
  <c r="CJ174" i="40"/>
  <c r="CI174" i="40"/>
  <c r="BT174" i="40"/>
  <c r="BS174" i="40"/>
  <c r="CG174" i="40" s="1"/>
  <c r="BR174" i="40"/>
  <c r="BQ174" i="40"/>
  <c r="BP174" i="40"/>
  <c r="BO174" i="40"/>
  <c r="BN174" i="40"/>
  <c r="BM174" i="40"/>
  <c r="BL174" i="40"/>
  <c r="BK174" i="40"/>
  <c r="BJ174" i="40"/>
  <c r="BI174" i="40"/>
  <c r="BH174" i="40"/>
  <c r="BG174" i="40"/>
  <c r="AR174" i="40"/>
  <c r="AQ174" i="40" s="1"/>
  <c r="BE174" i="40" s="1"/>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s="1"/>
  <c r="BM173" i="40"/>
  <c r="BL173" i="40"/>
  <c r="BK173" i="40"/>
  <c r="BJ173" i="40"/>
  <c r="BI173" i="40"/>
  <c r="BH173" i="40"/>
  <c r="BG173" i="40"/>
  <c r="BE173" i="40"/>
  <c r="AR173" i="40"/>
  <c r="AQ173" i="40"/>
  <c r="U173" i="40"/>
  <c r="S173" i="40"/>
  <c r="CT172" i="40"/>
  <c r="CS172" i="40"/>
  <c r="CR172" i="40"/>
  <c r="CR181" i="40" s="1"/>
  <c r="CQ172" i="40"/>
  <c r="CP172" i="40"/>
  <c r="CO172" i="40"/>
  <c r="CN172" i="40"/>
  <c r="CM172" i="40"/>
  <c r="CL172" i="40"/>
  <c r="CK172" i="40"/>
  <c r="CJ172" i="40"/>
  <c r="CI172" i="40"/>
  <c r="BT172" i="40"/>
  <c r="BR172" i="40"/>
  <c r="BQ172" i="40"/>
  <c r="BP172" i="40"/>
  <c r="BO172" i="40"/>
  <c r="BO181" i="40" s="1"/>
  <c r="BN172" i="40"/>
  <c r="BM172" i="40"/>
  <c r="BL172" i="40"/>
  <c r="BK172" i="40"/>
  <c r="BJ172" i="40"/>
  <c r="BI172" i="40"/>
  <c r="BH172" i="40"/>
  <c r="BG172" i="40"/>
  <c r="AR172" i="40"/>
  <c r="AQ172" i="40"/>
  <c r="BE172" i="40" s="1"/>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s="1"/>
  <c r="CM170" i="40"/>
  <c r="CM181" i="40" s="1"/>
  <c r="CL170" i="40"/>
  <c r="CJ170" i="40"/>
  <c r="CI170" i="40"/>
  <c r="BT170" i="40"/>
  <c r="BR170" i="40"/>
  <c r="BQ170" i="40"/>
  <c r="BQ181" i="40" s="1"/>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s="1"/>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s="1"/>
  <c r="BR166" i="40"/>
  <c r="BP166" i="40"/>
  <c r="BO166" i="40"/>
  <c r="BN166" i="40"/>
  <c r="BM166" i="40"/>
  <c r="BL166" i="40"/>
  <c r="BK166" i="40"/>
  <c r="BJ166" i="40"/>
  <c r="BI166" i="40"/>
  <c r="BH166" i="40"/>
  <c r="BG166" i="40"/>
  <c r="AI166" i="40"/>
  <c r="U166" i="40"/>
  <c r="S166" i="40" s="1"/>
  <c r="CT165" i="40"/>
  <c r="CR165" i="40"/>
  <c r="CQ165" i="40"/>
  <c r="CP165" i="40"/>
  <c r="CO165" i="40"/>
  <c r="CN165" i="40"/>
  <c r="CM165" i="40"/>
  <c r="CL165" i="40"/>
  <c r="CK165" i="40"/>
  <c r="CJ165" i="40"/>
  <c r="CI165" i="40"/>
  <c r="BT165" i="40" s="1"/>
  <c r="BS165" i="40" s="1"/>
  <c r="CG165" i="40" s="1"/>
  <c r="BR165" i="40"/>
  <c r="BP165" i="40"/>
  <c r="BO165" i="40"/>
  <c r="BN165" i="40"/>
  <c r="BM165" i="40"/>
  <c r="BL165" i="40"/>
  <c r="BK165" i="40"/>
  <c r="BJ165" i="40"/>
  <c r="BI165" i="40"/>
  <c r="BH165" i="40"/>
  <c r="BG165" i="40"/>
  <c r="AR165" i="40" s="1"/>
  <c r="AQ165" i="40" s="1"/>
  <c r="BE165" i="40" s="1"/>
  <c r="AI165" i="40"/>
  <c r="U165" i="40"/>
  <c r="S165" i="40"/>
  <c r="CT164" i="40"/>
  <c r="CS164" i="40"/>
  <c r="CR164" i="40"/>
  <c r="CQ164" i="40"/>
  <c r="CP164" i="40"/>
  <c r="CO164" i="40"/>
  <c r="CN164" i="40"/>
  <c r="CM164" i="40"/>
  <c r="CL164" i="40"/>
  <c r="CK164" i="40"/>
  <c r="CJ164" i="40"/>
  <c r="CI164" i="40"/>
  <c r="CH164" i="40" s="1"/>
  <c r="BT164" i="40"/>
  <c r="BR164" i="40"/>
  <c r="BP164" i="40"/>
  <c r="BO164" i="40"/>
  <c r="BN164" i="40"/>
  <c r="BM164" i="40"/>
  <c r="BL164" i="40"/>
  <c r="BK164" i="40"/>
  <c r="BJ164" i="40"/>
  <c r="BI164" i="40"/>
  <c r="BH164" i="40"/>
  <c r="BG164" i="40"/>
  <c r="AJ164" i="40"/>
  <c r="AI164" i="40" s="1"/>
  <c r="AF164" i="40"/>
  <c r="U164" i="40" s="1"/>
  <c r="CT163" i="40"/>
  <c r="CR163" i="40"/>
  <c r="CQ163" i="40"/>
  <c r="CP163" i="40"/>
  <c r="CO163" i="40"/>
  <c r="CN163" i="40"/>
  <c r="CM163" i="40"/>
  <c r="CL163" i="40"/>
  <c r="CK163" i="40"/>
  <c r="CJ163" i="40"/>
  <c r="CI163" i="40"/>
  <c r="BT163" i="40" s="1"/>
  <c r="BR163" i="40"/>
  <c r="BP163" i="40"/>
  <c r="BO163" i="40"/>
  <c r="BN163" i="40"/>
  <c r="BM163" i="40"/>
  <c r="BL163" i="40"/>
  <c r="BK163" i="40"/>
  <c r="BJ163" i="40"/>
  <c r="BI163" i="40"/>
  <c r="BH163" i="40"/>
  <c r="BG163" i="40"/>
  <c r="AR163" i="40" s="1"/>
  <c r="AQ163" i="40" s="1"/>
  <c r="BE163" i="40" s="1"/>
  <c r="AI163" i="40"/>
  <c r="U163" i="40"/>
  <c r="S163" i="40"/>
  <c r="CT162" i="40"/>
  <c r="CR162" i="40"/>
  <c r="CQ162" i="40"/>
  <c r="CP162" i="40"/>
  <c r="CO162" i="40"/>
  <c r="CN162" i="40"/>
  <c r="CM162" i="40"/>
  <c r="CL162" i="40"/>
  <c r="CK162" i="40"/>
  <c r="CJ162" i="40"/>
  <c r="CI162" i="40"/>
  <c r="BT162" i="40" s="1"/>
  <c r="BR162" i="40"/>
  <c r="BP162" i="40"/>
  <c r="BO162" i="40"/>
  <c r="BN162" i="40"/>
  <c r="BM162" i="40"/>
  <c r="BL162" i="40"/>
  <c r="BK162" i="40"/>
  <c r="BJ162" i="40"/>
  <c r="BI162" i="40"/>
  <c r="BH162" i="40"/>
  <c r="BG162" i="40"/>
  <c r="AI162" i="40"/>
  <c r="AF162" i="40"/>
  <c r="U162" i="40"/>
  <c r="S162" i="40" s="1"/>
  <c r="CT161" i="40"/>
  <c r="CS161" i="40"/>
  <c r="CR161" i="40"/>
  <c r="CQ161" i="40"/>
  <c r="CP161" i="40"/>
  <c r="CO161" i="40"/>
  <c r="CN161" i="40"/>
  <c r="CM161" i="40"/>
  <c r="CL161" i="40"/>
  <c r="CK161" i="40"/>
  <c r="CJ161" i="40"/>
  <c r="CI161" i="40"/>
  <c r="CH161" i="40" s="1"/>
  <c r="BT161" i="40"/>
  <c r="BR161" i="40"/>
  <c r="BQ161" i="40"/>
  <c r="BP161" i="40"/>
  <c r="BO161" i="40"/>
  <c r="BN161" i="40"/>
  <c r="BM161" i="40"/>
  <c r="BL161" i="40"/>
  <c r="BK161" i="40"/>
  <c r="BJ161" i="40"/>
  <c r="BI161" i="40"/>
  <c r="BH161" i="40"/>
  <c r="BF161" i="40" s="1"/>
  <c r="BG161" i="40"/>
  <c r="AR161" i="40"/>
  <c r="AI161" i="40"/>
  <c r="U161" i="40"/>
  <c r="S161" i="40" s="1"/>
  <c r="CT160" i="40"/>
  <c r="CR160" i="40"/>
  <c r="CQ160" i="40"/>
  <c r="CP160" i="40"/>
  <c r="CO160" i="40"/>
  <c r="CN160" i="40"/>
  <c r="CM160" i="40"/>
  <c r="CL160" i="40"/>
  <c r="CK160" i="40"/>
  <c r="CJ160" i="40"/>
  <c r="CI160" i="40"/>
  <c r="CS160" i="40" s="1"/>
  <c r="BR160" i="40"/>
  <c r="BP160" i="40"/>
  <c r="BO160" i="40"/>
  <c r="BN160" i="40"/>
  <c r="BM160" i="40"/>
  <c r="BL160" i="40"/>
  <c r="BK160" i="40"/>
  <c r="BJ160" i="40"/>
  <c r="BI160" i="40"/>
  <c r="BH160" i="40"/>
  <c r="BG160" i="40"/>
  <c r="AI160" i="40"/>
  <c r="U160" i="40"/>
  <c r="S160" i="40"/>
  <c r="CT159" i="40"/>
  <c r="CR159" i="40"/>
  <c r="CQ159" i="40"/>
  <c r="CP159" i="40"/>
  <c r="CO159" i="40"/>
  <c r="CN159" i="40"/>
  <c r="CN167" i="40" s="1"/>
  <c r="CM159" i="40"/>
  <c r="CL159" i="40"/>
  <c r="CK159" i="40"/>
  <c r="CJ159" i="40"/>
  <c r="CI159" i="40"/>
  <c r="BR159" i="40"/>
  <c r="BP159" i="40"/>
  <c r="BO159" i="40"/>
  <c r="BN159" i="40"/>
  <c r="BM159" i="40"/>
  <c r="BL159" i="40"/>
  <c r="BK159" i="40"/>
  <c r="BJ159" i="40"/>
  <c r="BI159" i="40"/>
  <c r="BH159" i="40"/>
  <c r="BG159" i="40"/>
  <c r="AR159" i="40" s="1"/>
  <c r="AQ159" i="40" s="1"/>
  <c r="BE159" i="40" s="1"/>
  <c r="AJ159" i="40"/>
  <c r="AI159" i="40"/>
  <c r="U159" i="40"/>
  <c r="S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s="1"/>
  <c r="AI158" i="40"/>
  <c r="U158" i="40"/>
  <c r="S158" i="40" s="1"/>
  <c r="CT157" i="40"/>
  <c r="CR157" i="40"/>
  <c r="CQ157" i="40"/>
  <c r="CP157" i="40"/>
  <c r="CP192" i="40" s="1"/>
  <c r="CO157" i="40"/>
  <c r="CN157" i="40"/>
  <c r="CM157" i="40"/>
  <c r="CL157" i="40"/>
  <c r="CK157" i="40"/>
  <c r="CJ157" i="40"/>
  <c r="CI157" i="40"/>
  <c r="BR157" i="40"/>
  <c r="BR192" i="40" s="1"/>
  <c r="BP157" i="40"/>
  <c r="BO157" i="40"/>
  <c r="BN157" i="40"/>
  <c r="BM157" i="40"/>
  <c r="BL157" i="40"/>
  <c r="BK157" i="40"/>
  <c r="BJ157" i="40"/>
  <c r="BJ192" i="40" s="1"/>
  <c r="BI157" i="40"/>
  <c r="BI192" i="40" s="1"/>
  <c r="BH157" i="40"/>
  <c r="BG157" i="40"/>
  <c r="AI157" i="40"/>
  <c r="U157" i="40"/>
  <c r="CT156" i="40"/>
  <c r="CS156" i="40"/>
  <c r="CR156" i="40"/>
  <c r="CQ156" i="40"/>
  <c r="CP156" i="40"/>
  <c r="CO156" i="40"/>
  <c r="CN156" i="40"/>
  <c r="CM156" i="40"/>
  <c r="CL156" i="40"/>
  <c r="CK156" i="40"/>
  <c r="CJ156" i="40"/>
  <c r="CH156" i="40"/>
  <c r="BT156" i="40"/>
  <c r="BS156" i="40"/>
  <c r="CG156" i="40" s="1"/>
  <c r="BR156" i="40"/>
  <c r="BQ156" i="40"/>
  <c r="BP156" i="40"/>
  <c r="BO156" i="40"/>
  <c r="BN156" i="40"/>
  <c r="BM156" i="40"/>
  <c r="BL156" i="40"/>
  <c r="BK156" i="40"/>
  <c r="BJ156" i="40"/>
  <c r="BI156" i="40"/>
  <c r="BH156" i="40"/>
  <c r="BF156" i="40" s="1"/>
  <c r="BG156" i="40"/>
  <c r="AR156" i="40"/>
  <c r="AQ156" i="40"/>
  <c r="BE156" i="40" s="1"/>
  <c r="AD156" i="40"/>
  <c r="AD167" i="40" s="1"/>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s="1"/>
  <c r="U155" i="40"/>
  <c r="CT154" i="40"/>
  <c r="CS154" i="40"/>
  <c r="CR154" i="40"/>
  <c r="CQ154" i="40"/>
  <c r="CP154" i="40"/>
  <c r="CO154" i="40"/>
  <c r="CN154" i="40"/>
  <c r="CM154" i="40"/>
  <c r="CL154" i="40"/>
  <c r="CK154" i="40"/>
  <c r="CJ154" i="40"/>
  <c r="CH154" i="40" s="1"/>
  <c r="BT154" i="40" s="1"/>
  <c r="BS154" i="40" s="1"/>
  <c r="CG154" i="40" s="1"/>
  <c r="BR154" i="40"/>
  <c r="BQ154" i="40"/>
  <c r="BP154" i="40"/>
  <c r="BO154" i="40"/>
  <c r="BN154" i="40"/>
  <c r="BM154" i="40"/>
  <c r="BL154" i="40"/>
  <c r="BK154" i="40"/>
  <c r="BJ154" i="40"/>
  <c r="BI154" i="40"/>
  <c r="BH154" i="40"/>
  <c r="AR154" i="40" s="1"/>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s="1"/>
  <c r="CO152" i="40"/>
  <c r="CN152" i="40"/>
  <c r="CM152" i="40"/>
  <c r="CL152" i="40"/>
  <c r="CL167" i="40" s="1"/>
  <c r="CK152" i="40"/>
  <c r="CJ152" i="40"/>
  <c r="CI152" i="40"/>
  <c r="BT152" i="40"/>
  <c r="BR152" i="40"/>
  <c r="BR167" i="40" s="1"/>
  <c r="BQ152" i="40"/>
  <c r="BP152" i="40"/>
  <c r="BO152" i="40"/>
  <c r="BN152" i="40"/>
  <c r="BM152" i="40"/>
  <c r="BL152" i="40"/>
  <c r="BK152" i="40"/>
  <c r="BJ152" i="40"/>
  <c r="BJ167" i="40" s="1"/>
  <c r="BI152" i="40"/>
  <c r="BI167" i="40" s="1"/>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s="1"/>
  <c r="BQ149" i="40"/>
  <c r="BQ150" i="40" s="1"/>
  <c r="BP149" i="40"/>
  <c r="BN149" i="40"/>
  <c r="BM149" i="40"/>
  <c r="BL149" i="40"/>
  <c r="BK149" i="40"/>
  <c r="BJ149" i="40"/>
  <c r="BI149" i="40"/>
  <c r="BI150" i="40" s="1"/>
  <c r="BH149" i="40"/>
  <c r="BG149" i="40"/>
  <c r="AR149" i="40"/>
  <c r="AD149" i="40"/>
  <c r="CT148" i="40"/>
  <c r="CS148" i="40"/>
  <c r="CR148" i="40"/>
  <c r="CR150" i="40" s="1"/>
  <c r="CQ148" i="40"/>
  <c r="CQ150" i="40" s="1"/>
  <c r="CP148" i="40"/>
  <c r="CO148" i="40"/>
  <c r="CO150" i="40" s="1"/>
  <c r="CN148" i="40"/>
  <c r="CM148" i="40"/>
  <c r="CL148" i="40"/>
  <c r="CL150" i="40" s="1"/>
  <c r="CK148" i="40"/>
  <c r="CJ148" i="40"/>
  <c r="CJ150" i="40" s="1"/>
  <c r="BR148" i="40"/>
  <c r="BQ148" i="40"/>
  <c r="BP148" i="40"/>
  <c r="BP150" i="40" s="1"/>
  <c r="BO148" i="40"/>
  <c r="BN148" i="40"/>
  <c r="BN150" i="40" s="1"/>
  <c r="BM148" i="40"/>
  <c r="BM150" i="40" s="1"/>
  <c r="BL148" i="40"/>
  <c r="BK148" i="40"/>
  <c r="BK150" i="40" s="1"/>
  <c r="BJ148" i="40"/>
  <c r="BJ150" i="40" s="1"/>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s="1"/>
  <c r="BE145" i="40" s="1"/>
  <c r="AI145" i="40"/>
  <c r="U145" i="40"/>
  <c r="BS145" i="40" s="1"/>
  <c r="CG145" i="40" s="1"/>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s="1"/>
  <c r="BE144" i="40" s="1"/>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s="1"/>
  <c r="BG143" i="40"/>
  <c r="AR143" i="40"/>
  <c r="AQ143" i="40" s="1"/>
  <c r="BE143" i="40" s="1"/>
  <c r="U143" i="40"/>
  <c r="BS143" i="40" s="1"/>
  <c r="CG143" i="40" s="1"/>
  <c r="CT142" i="40"/>
  <c r="CS142" i="40"/>
  <c r="CR142" i="40"/>
  <c r="CQ142" i="40"/>
  <c r="CP142" i="40"/>
  <c r="CO142" i="40"/>
  <c r="CN142" i="40"/>
  <c r="CM142" i="40"/>
  <c r="CL142" i="40"/>
  <c r="CH142" i="40" s="1"/>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s="1"/>
  <c r="BT141" i="40"/>
  <c r="BS141" i="40"/>
  <c r="CG141" i="40" s="1"/>
  <c r="BR141" i="40"/>
  <c r="BQ141" i="40"/>
  <c r="BP141" i="40"/>
  <c r="BO141" i="40"/>
  <c r="BN141" i="40"/>
  <c r="BM141" i="40"/>
  <c r="BL141" i="40"/>
  <c r="BK141" i="40"/>
  <c r="BJ141" i="40"/>
  <c r="BI141" i="40"/>
  <c r="BH141" i="40"/>
  <c r="BG141" i="40"/>
  <c r="BF141" i="40"/>
  <c r="AR141" i="40"/>
  <c r="AQ141" i="40"/>
  <c r="BE141" i="40" s="1"/>
  <c r="U141" i="40"/>
  <c r="CT140" i="40"/>
  <c r="CS140" i="40"/>
  <c r="CR140" i="40"/>
  <c r="CQ140" i="40"/>
  <c r="CP140" i="40"/>
  <c r="CO140" i="40"/>
  <c r="CN140" i="40"/>
  <c r="CM140" i="40"/>
  <c r="CL140" i="40"/>
  <c r="CK140" i="40"/>
  <c r="CJ140" i="40"/>
  <c r="CI140" i="40"/>
  <c r="BT140" i="40"/>
  <c r="BS140" i="40" s="1"/>
  <c r="CG140" i="40" s="1"/>
  <c r="BR140" i="40"/>
  <c r="BQ140" i="40"/>
  <c r="BP140" i="40"/>
  <c r="BO140" i="40"/>
  <c r="BN140" i="40"/>
  <c r="BM140" i="40"/>
  <c r="BL140" i="40"/>
  <c r="BK140" i="40"/>
  <c r="BJ140" i="40"/>
  <c r="BI140" i="40"/>
  <c r="BH140" i="40"/>
  <c r="BG140" i="40"/>
  <c r="BF140" i="40" s="1"/>
  <c r="AR140" i="40"/>
  <c r="AQ140" i="40" s="1"/>
  <c r="BE140" i="40" s="1"/>
  <c r="U140" i="40"/>
  <c r="CT139" i="40"/>
  <c r="CS139" i="40"/>
  <c r="CR139" i="40"/>
  <c r="CQ139" i="40"/>
  <c r="CP139" i="40"/>
  <c r="CO139" i="40"/>
  <c r="CN139" i="40"/>
  <c r="CM139" i="40"/>
  <c r="CL139" i="40"/>
  <c r="CK139" i="40"/>
  <c r="CJ139" i="40"/>
  <c r="CI139" i="40"/>
  <c r="CG139" i="40"/>
  <c r="BT139" i="40"/>
  <c r="BS139" i="40" s="1"/>
  <c r="BR139" i="40"/>
  <c r="BQ139" i="40"/>
  <c r="BP139" i="40"/>
  <c r="BO139" i="40"/>
  <c r="BN139" i="40"/>
  <c r="BM139" i="40"/>
  <c r="BL139" i="40"/>
  <c r="BK139" i="40"/>
  <c r="BJ139" i="40"/>
  <c r="BI139" i="40"/>
  <c r="BH139" i="40"/>
  <c r="BG139" i="40"/>
  <c r="BF139" i="40" s="1"/>
  <c r="AR139" i="40"/>
  <c r="AQ139" i="40" s="1"/>
  <c r="BE139" i="40" s="1"/>
  <c r="U139" i="40"/>
  <c r="CT138" i="40"/>
  <c r="CS138" i="40"/>
  <c r="CR138" i="40"/>
  <c r="CQ138" i="40"/>
  <c r="CP138" i="40"/>
  <c r="CO138" i="40"/>
  <c r="CN138" i="40"/>
  <c r="CM138" i="40"/>
  <c r="CL138" i="40"/>
  <c r="CK138" i="40"/>
  <c r="CJ138" i="40"/>
  <c r="CI138" i="40"/>
  <c r="CH138" i="40" s="1"/>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s="1"/>
  <c r="BE137" i="40" s="1"/>
  <c r="CT136" i="40"/>
  <c r="CS136" i="40"/>
  <c r="CR136" i="40"/>
  <c r="CQ136" i="40"/>
  <c r="CP136" i="40"/>
  <c r="CO136" i="40"/>
  <c r="CN136" i="40"/>
  <c r="CM136" i="40"/>
  <c r="CL136" i="40"/>
  <c r="CK136" i="40"/>
  <c r="CJ136" i="40"/>
  <c r="CI136" i="40"/>
  <c r="BT136" i="40"/>
  <c r="BS136" i="40"/>
  <c r="CG136" i="40" s="1"/>
  <c r="BR136" i="40"/>
  <c r="BQ136" i="40"/>
  <c r="BP136" i="40"/>
  <c r="BO136" i="40"/>
  <c r="BN136" i="40"/>
  <c r="BM136" i="40"/>
  <c r="BL136" i="40"/>
  <c r="BK136" i="40"/>
  <c r="BJ136" i="40"/>
  <c r="BI136" i="40"/>
  <c r="BH136" i="40"/>
  <c r="BG136" i="40"/>
  <c r="AR136" i="40"/>
  <c r="AQ136" i="40" s="1"/>
  <c r="BE136" i="40" s="1"/>
  <c r="U136" i="40"/>
  <c r="CT135" i="40"/>
  <c r="CS135" i="40"/>
  <c r="CR135" i="40"/>
  <c r="CQ135" i="40"/>
  <c r="CP135" i="40"/>
  <c r="CO135" i="40"/>
  <c r="CN135" i="40"/>
  <c r="CM135" i="40"/>
  <c r="CL135" i="40"/>
  <c r="CK135" i="40"/>
  <c r="CJ135" i="40"/>
  <c r="CI135" i="40"/>
  <c r="BT135" i="40"/>
  <c r="BS135" i="40"/>
  <c r="CG135" i="40" s="1"/>
  <c r="BR135" i="40"/>
  <c r="BQ135" i="40"/>
  <c r="BP135" i="40"/>
  <c r="BO135" i="40"/>
  <c r="BN135" i="40"/>
  <c r="BM135" i="40"/>
  <c r="BL135" i="40"/>
  <c r="BK135" i="40"/>
  <c r="BJ135" i="40"/>
  <c r="BI135" i="40"/>
  <c r="BH135" i="40"/>
  <c r="BG135" i="40"/>
  <c r="AR135" i="40"/>
  <c r="U135" i="40"/>
  <c r="AQ135" i="40" s="1"/>
  <c r="BE135" i="40" s="1"/>
  <c r="CT134" i="40"/>
  <c r="CS134" i="40"/>
  <c r="CR134" i="40"/>
  <c r="CQ134" i="40"/>
  <c r="CP134" i="40"/>
  <c r="CO134" i="40"/>
  <c r="CN134" i="40"/>
  <c r="CM134" i="40"/>
  <c r="CL134" i="40"/>
  <c r="CK134" i="40"/>
  <c r="CH134" i="40" s="1"/>
  <c r="CJ134" i="40"/>
  <c r="CI134" i="40"/>
  <c r="BT134" i="40"/>
  <c r="BR134" i="40"/>
  <c r="BQ134" i="40"/>
  <c r="BP134" i="40"/>
  <c r="BO134" i="40"/>
  <c r="BN134" i="40"/>
  <c r="BM134" i="40"/>
  <c r="BL134" i="40"/>
  <c r="BK134" i="40"/>
  <c r="BJ134" i="40"/>
  <c r="BF134" i="40" s="1"/>
  <c r="BI134" i="40"/>
  <c r="BH134" i="40"/>
  <c r="BG134" i="40"/>
  <c r="AR134" i="40"/>
  <c r="U134" i="40"/>
  <c r="AQ134" i="40" s="1"/>
  <c r="BE134" i="40" s="1"/>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s="1"/>
  <c r="BE133" i="40"/>
  <c r="AR133" i="40"/>
  <c r="AQ133" i="40" s="1"/>
  <c r="U133" i="40"/>
  <c r="BS133" i="40" s="1"/>
  <c r="CG133" i="40" s="1"/>
  <c r="CT132" i="40"/>
  <c r="CS132" i="40"/>
  <c r="CR132" i="40"/>
  <c r="CQ132" i="40"/>
  <c r="CP132" i="40"/>
  <c r="CO132" i="40"/>
  <c r="CH132" i="40" s="1"/>
  <c r="CN132" i="40"/>
  <c r="CM132" i="40"/>
  <c r="CL132" i="40"/>
  <c r="CK132" i="40"/>
  <c r="CJ132" i="40"/>
  <c r="CI132" i="40"/>
  <c r="CG132" i="40"/>
  <c r="BT132" i="40"/>
  <c r="BS132" i="40"/>
  <c r="BR132" i="40"/>
  <c r="BQ132" i="40"/>
  <c r="BP132" i="40"/>
  <c r="BO132" i="40"/>
  <c r="BN132" i="40"/>
  <c r="BM132" i="40"/>
  <c r="BF132" i="40" s="1"/>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s="1"/>
  <c r="CG131" i="40" s="1"/>
  <c r="BR131" i="40"/>
  <c r="BQ131" i="40"/>
  <c r="BP131" i="40"/>
  <c r="BO131" i="40"/>
  <c r="BN131" i="40"/>
  <c r="BM131" i="40"/>
  <c r="BF131" i="40" s="1"/>
  <c r="BL131" i="40"/>
  <c r="BK131" i="40"/>
  <c r="BJ131" i="40"/>
  <c r="BI131" i="40"/>
  <c r="BH131" i="40"/>
  <c r="BG131" i="40"/>
  <c r="BE131" i="40"/>
  <c r="AR131" i="40"/>
  <c r="AQ131" i="40" s="1"/>
  <c r="U131" i="40"/>
  <c r="CT130" i="40"/>
  <c r="CS130" i="40"/>
  <c r="CR130" i="40"/>
  <c r="CQ130" i="40"/>
  <c r="CP130" i="40"/>
  <c r="CO130" i="40"/>
  <c r="CH130" i="40" s="1"/>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s="1"/>
  <c r="BH129" i="40"/>
  <c r="BG129" i="40"/>
  <c r="AR129" i="40"/>
  <c r="U129" i="40"/>
  <c r="AQ129" i="40" s="1"/>
  <c r="BE129" i="40" s="1"/>
  <c r="CT128" i="40"/>
  <c r="CS128" i="40"/>
  <c r="CR128" i="40"/>
  <c r="CQ128" i="40"/>
  <c r="CP128" i="40"/>
  <c r="CO128" i="40"/>
  <c r="CN128" i="40"/>
  <c r="CM128" i="40"/>
  <c r="CL128" i="40"/>
  <c r="CK128" i="40"/>
  <c r="CJ128" i="40"/>
  <c r="CI128" i="40"/>
  <c r="BT128" i="40"/>
  <c r="BS128" i="40" s="1"/>
  <c r="CG128" i="40" s="1"/>
  <c r="BR128" i="40"/>
  <c r="BQ128" i="40"/>
  <c r="BP128" i="40"/>
  <c r="BO128" i="40"/>
  <c r="BN128" i="40"/>
  <c r="BM128" i="40"/>
  <c r="BL128" i="40"/>
  <c r="BK128" i="40"/>
  <c r="BJ128" i="40"/>
  <c r="BI128" i="40"/>
  <c r="BH128" i="40"/>
  <c r="BG128" i="40"/>
  <c r="BF128" i="40" s="1"/>
  <c r="AR128" i="40"/>
  <c r="U128" i="40"/>
  <c r="AQ128" i="40" s="1"/>
  <c r="BE128" i="40" s="1"/>
  <c r="CT127" i="40"/>
  <c r="CS127" i="40"/>
  <c r="CR127" i="40"/>
  <c r="CQ127" i="40"/>
  <c r="CP127" i="40"/>
  <c r="CO127" i="40"/>
  <c r="CN127" i="40"/>
  <c r="CM127" i="40"/>
  <c r="CL127" i="40"/>
  <c r="CK127" i="40"/>
  <c r="CJ127" i="40"/>
  <c r="CH127" i="40" s="1"/>
  <c r="CI127" i="40"/>
  <c r="BT127" i="40"/>
  <c r="BR127" i="40"/>
  <c r="BQ127" i="40"/>
  <c r="BP127" i="40"/>
  <c r="BO127" i="40"/>
  <c r="BN127" i="40"/>
  <c r="BM127" i="40"/>
  <c r="BL127" i="40"/>
  <c r="BK127" i="40"/>
  <c r="BJ127" i="40"/>
  <c r="BI127" i="40"/>
  <c r="BH127" i="40"/>
  <c r="BG127" i="40"/>
  <c r="BE127" i="40"/>
  <c r="AR127" i="40"/>
  <c r="AQ127" i="40" s="1"/>
  <c r="U127" i="40"/>
  <c r="BS127" i="40" s="1"/>
  <c r="CG127" i="40" s="1"/>
  <c r="CT126" i="40"/>
  <c r="CS126" i="40"/>
  <c r="CR126" i="40"/>
  <c r="CQ126" i="40"/>
  <c r="CP126" i="40"/>
  <c r="CO126" i="40"/>
  <c r="CN126" i="40"/>
  <c r="CM126" i="40"/>
  <c r="CL126" i="40"/>
  <c r="CH126" i="40" s="1"/>
  <c r="CK126" i="40"/>
  <c r="CJ126" i="40"/>
  <c r="CI126" i="40"/>
  <c r="BT126" i="40"/>
  <c r="BR126" i="40"/>
  <c r="BQ126" i="40"/>
  <c r="BP126" i="40"/>
  <c r="BO126" i="40"/>
  <c r="BN126" i="40"/>
  <c r="BM126" i="40"/>
  <c r="BL126" i="40"/>
  <c r="BK126" i="40"/>
  <c r="BJ126" i="40"/>
  <c r="BF126" i="40" s="1"/>
  <c r="BI126" i="40"/>
  <c r="BH126" i="40"/>
  <c r="BG126" i="40"/>
  <c r="AR126" i="40"/>
  <c r="U126" i="40"/>
  <c r="CT125" i="40"/>
  <c r="CS125" i="40"/>
  <c r="CR125" i="40"/>
  <c r="CQ125" i="40"/>
  <c r="CP125" i="40"/>
  <c r="CO125" i="40"/>
  <c r="CN125" i="40"/>
  <c r="CM125" i="40"/>
  <c r="CL125" i="40"/>
  <c r="CK125" i="40"/>
  <c r="CJ125" i="40"/>
  <c r="CI125" i="40"/>
  <c r="CH125" i="40"/>
  <c r="BT125" i="40"/>
  <c r="BS125" i="40"/>
  <c r="CG125" i="40" s="1"/>
  <c r="BR125" i="40"/>
  <c r="BQ125" i="40"/>
  <c r="BP125" i="40"/>
  <c r="BO125" i="40"/>
  <c r="BN125" i="40"/>
  <c r="BM125" i="40"/>
  <c r="BL125" i="40"/>
  <c r="BK125" i="40"/>
  <c r="BJ125" i="40"/>
  <c r="BI125" i="40"/>
  <c r="BH125" i="40"/>
  <c r="BG125" i="40"/>
  <c r="AR125" i="40"/>
  <c r="AQ125" i="40"/>
  <c r="BE125" i="40" s="1"/>
  <c r="U125" i="40"/>
  <c r="CT124" i="40"/>
  <c r="CS124" i="40"/>
  <c r="CR124" i="40"/>
  <c r="CQ124" i="40"/>
  <c r="CP124" i="40"/>
  <c r="CO124" i="40"/>
  <c r="CN124" i="40"/>
  <c r="CM124" i="40"/>
  <c r="CL124" i="40"/>
  <c r="CK124" i="40"/>
  <c r="CJ124" i="40"/>
  <c r="CI124" i="40"/>
  <c r="BT124" i="40"/>
  <c r="BS124" i="40" s="1"/>
  <c r="CG124" i="40" s="1"/>
  <c r="BR124" i="40"/>
  <c r="BQ124" i="40"/>
  <c r="BP124" i="40"/>
  <c r="BO124" i="40"/>
  <c r="BN124" i="40"/>
  <c r="BM124" i="40"/>
  <c r="BL124" i="40"/>
  <c r="BK124" i="40"/>
  <c r="BJ124" i="40"/>
  <c r="BI124" i="40"/>
  <c r="BH124" i="40"/>
  <c r="BG124" i="40"/>
  <c r="AR124" i="40"/>
  <c r="AQ124" i="40" s="1"/>
  <c r="BE124" i="40" s="1"/>
  <c r="U124" i="40"/>
  <c r="CT123" i="40"/>
  <c r="CS123" i="40"/>
  <c r="CR123" i="40"/>
  <c r="CQ123" i="40"/>
  <c r="CP123" i="40"/>
  <c r="CO123" i="40"/>
  <c r="CN123" i="40"/>
  <c r="CM123" i="40"/>
  <c r="CL123" i="40"/>
  <c r="CK123" i="40"/>
  <c r="CJ123" i="40"/>
  <c r="CH123" i="40" s="1"/>
  <c r="CI123" i="40"/>
  <c r="CG123" i="40"/>
  <c r="BT123" i="40"/>
  <c r="BS123" i="40" s="1"/>
  <c r="BR123" i="40"/>
  <c r="BQ123" i="40"/>
  <c r="BP123" i="40"/>
  <c r="BO123" i="40"/>
  <c r="BN123" i="40"/>
  <c r="BM123" i="40"/>
  <c r="BL123" i="40"/>
  <c r="BK123" i="40"/>
  <c r="BJ123" i="40"/>
  <c r="BI123" i="40"/>
  <c r="BH123" i="40"/>
  <c r="BG123" i="40"/>
  <c r="AR123" i="40"/>
  <c r="AQ123" i="40" s="1"/>
  <c r="BE123" i="40" s="1"/>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s="1"/>
  <c r="AR122" i="40"/>
  <c r="U122" i="40"/>
  <c r="CT121" i="40"/>
  <c r="CS121" i="40"/>
  <c r="CR121" i="40"/>
  <c r="CQ121" i="40"/>
  <c r="CP121" i="40"/>
  <c r="CO121" i="40"/>
  <c r="CN121" i="40"/>
  <c r="CM121" i="40"/>
  <c r="CH121" i="40" s="1"/>
  <c r="CL121" i="40"/>
  <c r="CK121" i="40"/>
  <c r="CJ121" i="40"/>
  <c r="CI121" i="40"/>
  <c r="BT121" i="40"/>
  <c r="BR121" i="40"/>
  <c r="BQ121" i="40"/>
  <c r="BP121" i="40"/>
  <c r="BO121" i="40"/>
  <c r="BN121" i="40"/>
  <c r="BM121" i="40"/>
  <c r="BL121" i="40"/>
  <c r="BK121" i="40"/>
  <c r="BJ121" i="40"/>
  <c r="BI121" i="40"/>
  <c r="BH121" i="40"/>
  <c r="BF121" i="40" s="1"/>
  <c r="BG121" i="40"/>
  <c r="AR121" i="40"/>
  <c r="U121" i="40"/>
  <c r="AQ121" i="40" s="1"/>
  <c r="BE121" i="40" s="1"/>
  <c r="CT120" i="40"/>
  <c r="CS120" i="40"/>
  <c r="CR120" i="40"/>
  <c r="CQ120" i="40"/>
  <c r="CP120" i="40"/>
  <c r="CO120" i="40"/>
  <c r="CN120" i="40"/>
  <c r="CM120" i="40"/>
  <c r="CL120" i="40"/>
  <c r="CK120" i="40"/>
  <c r="CJ120" i="40"/>
  <c r="CI120" i="40"/>
  <c r="CH120" i="40" s="1"/>
  <c r="BT120" i="40"/>
  <c r="BS120" i="40"/>
  <c r="CG120" i="40" s="1"/>
  <c r="BR120" i="40"/>
  <c r="BQ120" i="40"/>
  <c r="BP120" i="40"/>
  <c r="BO120" i="40"/>
  <c r="BN120" i="40"/>
  <c r="BM120" i="40"/>
  <c r="BL120" i="40"/>
  <c r="BK120" i="40"/>
  <c r="BJ120" i="40"/>
  <c r="BI120" i="40"/>
  <c r="BH120" i="40"/>
  <c r="BG120" i="40"/>
  <c r="AR120" i="40"/>
  <c r="AQ120" i="40"/>
  <c r="BE120" i="40" s="1"/>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s="1"/>
  <c r="BE119" i="40" s="1"/>
  <c r="CT118" i="40"/>
  <c r="CS118" i="40"/>
  <c r="CR118" i="40"/>
  <c r="CQ118" i="40"/>
  <c r="CP118" i="40"/>
  <c r="CO118" i="40"/>
  <c r="CN118" i="40"/>
  <c r="CM118" i="40"/>
  <c r="CL118" i="40"/>
  <c r="CH118" i="40" s="1"/>
  <c r="CK118" i="40"/>
  <c r="CJ118" i="40"/>
  <c r="CI118" i="40"/>
  <c r="BT118" i="40"/>
  <c r="BS118" i="40" s="1"/>
  <c r="CG118" i="40" s="1"/>
  <c r="BR118" i="40"/>
  <c r="BQ118" i="40"/>
  <c r="BP118" i="40"/>
  <c r="BO118" i="40"/>
  <c r="BN118" i="40"/>
  <c r="BM118" i="40"/>
  <c r="BL118" i="40"/>
  <c r="BK118" i="40"/>
  <c r="BJ118" i="40"/>
  <c r="BF118" i="40" s="1"/>
  <c r="BI118" i="40"/>
  <c r="BH118" i="40"/>
  <c r="BG118" i="40"/>
  <c r="AR118" i="40"/>
  <c r="AQ118" i="40"/>
  <c r="BE118" i="40" s="1"/>
  <c r="U118" i="40"/>
  <c r="CT117" i="40"/>
  <c r="CS117" i="40"/>
  <c r="CR117" i="40"/>
  <c r="CQ117" i="40"/>
  <c r="CP117" i="40"/>
  <c r="CO117" i="40"/>
  <c r="CN117" i="40"/>
  <c r="CM117" i="40"/>
  <c r="CL117" i="40"/>
  <c r="CK117" i="40"/>
  <c r="CJ117" i="40"/>
  <c r="CI117" i="40"/>
  <c r="BT117" i="40"/>
  <c r="BS117" i="40"/>
  <c r="CG117" i="40" s="1"/>
  <c r="BR117" i="40"/>
  <c r="BQ117" i="40"/>
  <c r="BP117" i="40"/>
  <c r="BO117" i="40"/>
  <c r="BN117" i="40"/>
  <c r="BM117" i="40"/>
  <c r="BL117" i="40"/>
  <c r="BK117" i="40"/>
  <c r="BJ117" i="40"/>
  <c r="BI117" i="40"/>
  <c r="BH117" i="40"/>
  <c r="BG117" i="40"/>
  <c r="BF117" i="40" s="1"/>
  <c r="AR117" i="40"/>
  <c r="AQ117" i="40"/>
  <c r="BE117" i="40" s="1"/>
  <c r="U117" i="40"/>
  <c r="CT116" i="40"/>
  <c r="CS116" i="40"/>
  <c r="CR116" i="40"/>
  <c r="CQ116" i="40"/>
  <c r="CP116" i="40"/>
  <c r="CO116" i="40"/>
  <c r="CN116" i="40"/>
  <c r="CM116" i="40"/>
  <c r="CL116" i="40"/>
  <c r="CK116" i="40"/>
  <c r="CJ116" i="40"/>
  <c r="CH116" i="40" s="1"/>
  <c r="CI116" i="40"/>
  <c r="BT116" i="40"/>
  <c r="BS116" i="40" s="1"/>
  <c r="CG116" i="40" s="1"/>
  <c r="BR116" i="40"/>
  <c r="BQ116" i="40"/>
  <c r="BP116" i="40"/>
  <c r="BO116" i="40"/>
  <c r="BN116" i="40"/>
  <c r="BM116" i="40"/>
  <c r="BL116" i="40"/>
  <c r="BK116" i="40"/>
  <c r="BJ116" i="40"/>
  <c r="BI116" i="40"/>
  <c r="BH116" i="40"/>
  <c r="BG116" i="40"/>
  <c r="BF116" i="40"/>
  <c r="BE116" i="40"/>
  <c r="AR116" i="40"/>
  <c r="AQ116" i="40" s="1"/>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s="1"/>
  <c r="BM115" i="40"/>
  <c r="BL115" i="40"/>
  <c r="BK115" i="40"/>
  <c r="BJ115" i="40"/>
  <c r="BI115" i="40"/>
  <c r="BH115" i="40"/>
  <c r="BG115" i="40"/>
  <c r="AR115" i="40"/>
  <c r="AQ115" i="40" s="1"/>
  <c r="BE115" i="40" s="1"/>
  <c r="AI115" i="40"/>
  <c r="U115" i="40"/>
  <c r="BS115" i="40" s="1"/>
  <c r="CG115" i="40" s="1"/>
  <c r="S115" i="40"/>
  <c r="CT114" i="40"/>
  <c r="CS114" i="40"/>
  <c r="CR114" i="40"/>
  <c r="CQ114" i="40"/>
  <c r="CP114" i="40"/>
  <c r="CO114" i="40"/>
  <c r="CN114" i="40"/>
  <c r="CM114" i="40"/>
  <c r="CL114" i="40"/>
  <c r="CK114" i="40"/>
  <c r="CJ114" i="40"/>
  <c r="CI114" i="40"/>
  <c r="CH114" i="40" s="1"/>
  <c r="BT114" i="40"/>
  <c r="BS114" i="40" s="1"/>
  <c r="CG114" i="40" s="1"/>
  <c r="BR114" i="40"/>
  <c r="BQ114" i="40"/>
  <c r="BP114" i="40"/>
  <c r="BO114" i="40"/>
  <c r="BN114" i="40"/>
  <c r="BM114" i="40"/>
  <c r="BL114" i="40"/>
  <c r="BK114" i="40"/>
  <c r="BJ114" i="40"/>
  <c r="BI114" i="40"/>
  <c r="BH114" i="40"/>
  <c r="BG114" i="40"/>
  <c r="AR114" i="40"/>
  <c r="AQ114" i="40"/>
  <c r="BE114" i="40" s="1"/>
  <c r="AI114" i="40"/>
  <c r="U114" i="40"/>
  <c r="S114" i="40" s="1"/>
  <c r="CT113" i="40"/>
  <c r="CS113" i="40"/>
  <c r="CR113" i="40"/>
  <c r="CQ113" i="40"/>
  <c r="CP113" i="40"/>
  <c r="CO113" i="40"/>
  <c r="CN113" i="40"/>
  <c r="CH113" i="40" s="1"/>
  <c r="CM113" i="40"/>
  <c r="CL113" i="40"/>
  <c r="CK113" i="40"/>
  <c r="CJ113" i="40"/>
  <c r="CI113" i="40"/>
  <c r="BT113" i="40"/>
  <c r="BS113" i="40" s="1"/>
  <c r="CG113" i="40" s="1"/>
  <c r="BR113" i="40"/>
  <c r="BQ113" i="40"/>
  <c r="BP113" i="40"/>
  <c r="BO113" i="40"/>
  <c r="BN113" i="40"/>
  <c r="BM113" i="40"/>
  <c r="BL113" i="40"/>
  <c r="BK113" i="40"/>
  <c r="BJ113" i="40"/>
  <c r="BI113" i="40"/>
  <c r="BH113" i="40"/>
  <c r="BG113" i="40"/>
  <c r="AR113" i="40"/>
  <c r="AQ113" i="40" s="1"/>
  <c r="BE113" i="40" s="1"/>
  <c r="AI113" i="40"/>
  <c r="U113" i="40"/>
  <c r="S113" i="40" s="1"/>
  <c r="CT112" i="40"/>
  <c r="CS112" i="40"/>
  <c r="CR112" i="40"/>
  <c r="CQ112" i="40"/>
  <c r="CP112" i="40"/>
  <c r="CO112" i="40"/>
  <c r="CN112" i="40"/>
  <c r="CM112" i="40"/>
  <c r="CL112" i="40"/>
  <c r="CK112" i="40"/>
  <c r="CJ112" i="40"/>
  <c r="CI112" i="40"/>
  <c r="BT112" i="40"/>
  <c r="BS112" i="40" s="1"/>
  <c r="CG112" i="40" s="1"/>
  <c r="BR112" i="40"/>
  <c r="BQ112" i="40"/>
  <c r="BP112" i="40"/>
  <c r="BO112" i="40"/>
  <c r="BN112" i="40"/>
  <c r="BM112" i="40"/>
  <c r="BL112" i="40"/>
  <c r="BK112" i="40"/>
  <c r="BJ112" i="40"/>
  <c r="BI112" i="40"/>
  <c r="BH112" i="40"/>
  <c r="BG112" i="40"/>
  <c r="AR112" i="40"/>
  <c r="AQ112" i="40"/>
  <c r="BE112" i="40" s="1"/>
  <c r="AI112" i="40"/>
  <c r="U112" i="40"/>
  <c r="S112" i="40"/>
  <c r="CT111" i="40"/>
  <c r="CS111" i="40"/>
  <c r="CR111" i="40"/>
  <c r="CQ111" i="40"/>
  <c r="CP111" i="40"/>
  <c r="CO111" i="40"/>
  <c r="CH111" i="40" s="1"/>
  <c r="CN111" i="40"/>
  <c r="CM111" i="40"/>
  <c r="CL111" i="40"/>
  <c r="CK111" i="40"/>
  <c r="CJ111" i="40"/>
  <c r="CI111" i="40"/>
  <c r="CG111" i="40"/>
  <c r="BT111" i="40"/>
  <c r="BS111" i="40"/>
  <c r="BR111" i="40"/>
  <c r="BQ111" i="40"/>
  <c r="BP111" i="40"/>
  <c r="BO111" i="40"/>
  <c r="BN111" i="40"/>
  <c r="BM111" i="40"/>
  <c r="BF111" i="40" s="1"/>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s="1"/>
  <c r="CI110" i="40"/>
  <c r="BT110" i="40"/>
  <c r="BS110" i="40"/>
  <c r="CG110" i="40" s="1"/>
  <c r="BR110" i="40"/>
  <c r="BQ110" i="40"/>
  <c r="BP110" i="40"/>
  <c r="BO110" i="40"/>
  <c r="BN110" i="40"/>
  <c r="BM110" i="40"/>
  <c r="BL110" i="40"/>
  <c r="BK110" i="40"/>
  <c r="BJ110" i="40"/>
  <c r="BI110" i="40"/>
  <c r="BH110" i="40"/>
  <c r="BG110" i="40"/>
  <c r="AR110" i="40"/>
  <c r="AQ110" i="40"/>
  <c r="BE110" i="40" s="1"/>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s="1"/>
  <c r="CG109" i="40" s="1"/>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s="1"/>
  <c r="BE108" i="40" s="1"/>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s="1"/>
  <c r="BJ107" i="40"/>
  <c r="BI107" i="40"/>
  <c r="BH107" i="40"/>
  <c r="BG107" i="40"/>
  <c r="AR107" i="40"/>
  <c r="AI107" i="40"/>
  <c r="U107" i="40"/>
  <c r="AQ107" i="40" s="1"/>
  <c r="BE107" i="40" s="1"/>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CH105" i="40" s="1"/>
  <c r="BT105" i="40"/>
  <c r="BR105" i="40"/>
  <c r="BQ105" i="40"/>
  <c r="BP105" i="40"/>
  <c r="BO105" i="40"/>
  <c r="BN105" i="40"/>
  <c r="BF105" i="40" s="1"/>
  <c r="BM105" i="40"/>
  <c r="BL105" i="40"/>
  <c r="BK105" i="40"/>
  <c r="BJ105" i="40"/>
  <c r="BI105" i="40"/>
  <c r="BH105" i="40"/>
  <c r="BG105" i="40"/>
  <c r="AR105" i="40"/>
  <c r="AQ105" i="40" s="1"/>
  <c r="BE105" i="40" s="1"/>
  <c r="AI105" i="40"/>
  <c r="U105" i="40"/>
  <c r="S105" i="40" s="1"/>
  <c r="CT104" i="40"/>
  <c r="CS104" i="40"/>
  <c r="CR104" i="40"/>
  <c r="CQ104" i="40"/>
  <c r="CP104" i="40"/>
  <c r="CO104" i="40"/>
  <c r="CN104" i="40"/>
  <c r="CM104" i="40"/>
  <c r="CL104" i="40"/>
  <c r="CK104" i="40"/>
  <c r="CJ104" i="40"/>
  <c r="CI104" i="40"/>
  <c r="CH104" i="40"/>
  <c r="CG104" i="40"/>
  <c r="BT104" i="40"/>
  <c r="BS104" i="40" s="1"/>
  <c r="BR104" i="40"/>
  <c r="BQ104" i="40"/>
  <c r="BP104" i="40"/>
  <c r="BO104" i="40"/>
  <c r="BN104" i="40"/>
  <c r="BM104" i="40"/>
  <c r="BL104" i="40"/>
  <c r="BK104" i="40"/>
  <c r="BJ104" i="40"/>
  <c r="BI104" i="40"/>
  <c r="BH104" i="40"/>
  <c r="BG104" i="40"/>
  <c r="AQ104" i="40"/>
  <c r="BE104" i="40" s="1"/>
  <c r="U104" i="40"/>
  <c r="CT103" i="40"/>
  <c r="CS103" i="40"/>
  <c r="CR103" i="40"/>
  <c r="CQ103" i="40"/>
  <c r="CP103" i="40"/>
  <c r="CO103" i="40"/>
  <c r="CN103" i="40"/>
  <c r="CM103" i="40"/>
  <c r="CL103" i="40"/>
  <c r="CK103" i="40"/>
  <c r="CJ103" i="40"/>
  <c r="CI103" i="40"/>
  <c r="BT103" i="40"/>
  <c r="BS103" i="40" s="1"/>
  <c r="CG103" i="40" s="1"/>
  <c r="BR103" i="40"/>
  <c r="BQ103" i="40"/>
  <c r="BP103" i="40"/>
  <c r="BO103" i="40"/>
  <c r="BN103" i="40"/>
  <c r="BM103" i="40"/>
  <c r="BL103" i="40"/>
  <c r="BK103" i="40"/>
  <c r="BJ103" i="40"/>
  <c r="BI103" i="40"/>
  <c r="BH103" i="40"/>
  <c r="BF103" i="40" s="1"/>
  <c r="BG103" i="40"/>
  <c r="AR103" i="40"/>
  <c r="AQ103" i="40" s="1"/>
  <c r="BE103" i="40" s="1"/>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s="1"/>
  <c r="AI102" i="40"/>
  <c r="AA102" i="40"/>
  <c r="U102" i="40"/>
  <c r="BS102" i="40" s="1"/>
  <c r="CG102" i="40" s="1"/>
  <c r="S102" i="40"/>
  <c r="CT101" i="40"/>
  <c r="CS101" i="40"/>
  <c r="CR101" i="40"/>
  <c r="CQ101" i="40"/>
  <c r="CP101" i="40"/>
  <c r="CO101" i="40"/>
  <c r="CN101" i="40"/>
  <c r="CM101" i="40"/>
  <c r="CL101" i="40"/>
  <c r="CK101" i="40"/>
  <c r="CJ101" i="40"/>
  <c r="CI101" i="40"/>
  <c r="BT101" i="40"/>
  <c r="BS101" i="40"/>
  <c r="CG101" i="40" s="1"/>
  <c r="BR101" i="40"/>
  <c r="BQ101" i="40"/>
  <c r="BP101" i="40"/>
  <c r="BO101" i="40"/>
  <c r="BN101" i="40"/>
  <c r="BM101" i="40"/>
  <c r="BL101" i="40"/>
  <c r="BK101" i="40"/>
  <c r="BJ101" i="40"/>
  <c r="BI101" i="40"/>
  <c r="BH101" i="40"/>
  <c r="BG101" i="40"/>
  <c r="AR101" i="40"/>
  <c r="AQ101" i="40"/>
  <c r="BE101" i="40" s="1"/>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s="1"/>
  <c r="CY99" i="40"/>
  <c r="CT99" i="40"/>
  <c r="CS99" i="40"/>
  <c r="CR99" i="40"/>
  <c r="CQ99" i="40"/>
  <c r="CP99" i="40"/>
  <c r="CO99" i="40"/>
  <c r="CN99" i="40"/>
  <c r="CM99" i="40"/>
  <c r="CL99" i="40"/>
  <c r="CK99" i="40"/>
  <c r="CJ99" i="40"/>
  <c r="CI99" i="40"/>
  <c r="BT99" i="40"/>
  <c r="BS99" i="40" s="1"/>
  <c r="CG99" i="40" s="1"/>
  <c r="BR99" i="40"/>
  <c r="BQ99" i="40"/>
  <c r="BP99" i="40"/>
  <c r="BO99" i="40"/>
  <c r="BN99" i="40"/>
  <c r="BM99" i="40"/>
  <c r="BL99" i="40"/>
  <c r="BK99" i="40"/>
  <c r="BJ99" i="40"/>
  <c r="BI99" i="40"/>
  <c r="BH99" i="40"/>
  <c r="BG99" i="40"/>
  <c r="AR99" i="40"/>
  <c r="AQ99" i="40"/>
  <c r="BE99" i="40" s="1"/>
  <c r="AI99" i="40"/>
  <c r="U99" i="40"/>
  <c r="S99" i="40"/>
  <c r="CT98" i="40"/>
  <c r="CS98" i="40"/>
  <c r="CR98" i="40"/>
  <c r="CQ98" i="40"/>
  <c r="CP98" i="40"/>
  <c r="CO98" i="40"/>
  <c r="CN98" i="40"/>
  <c r="CM98" i="40"/>
  <c r="CL98" i="40"/>
  <c r="CH98" i="40" s="1"/>
  <c r="CK98" i="40"/>
  <c r="CJ98" i="40"/>
  <c r="CI98" i="40"/>
  <c r="BT98" i="40"/>
  <c r="BR98" i="40"/>
  <c r="BQ98" i="40"/>
  <c r="BP98" i="40"/>
  <c r="BO98" i="40"/>
  <c r="BN98" i="40"/>
  <c r="BM98" i="40"/>
  <c r="BL98" i="40"/>
  <c r="BK98" i="40"/>
  <c r="BJ98" i="40"/>
  <c r="BI98" i="40"/>
  <c r="BH98" i="40"/>
  <c r="BG98" i="40"/>
  <c r="BF98" i="40" s="1"/>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s="1"/>
  <c r="CT95" i="40"/>
  <c r="CS95" i="40"/>
  <c r="CR95" i="40"/>
  <c r="CQ95" i="40"/>
  <c r="CP95" i="40"/>
  <c r="CO95" i="40"/>
  <c r="CN95" i="40"/>
  <c r="CM95" i="40"/>
  <c r="CL95" i="40"/>
  <c r="CK95" i="40"/>
  <c r="CI95" i="40"/>
  <c r="CH95" i="40"/>
  <c r="BT95" i="40"/>
  <c r="BR95" i="40"/>
  <c r="BQ95" i="40"/>
  <c r="BP95" i="40"/>
  <c r="BN95" i="40"/>
  <c r="BL95" i="40"/>
  <c r="BK95" i="40"/>
  <c r="BJ95" i="40"/>
  <c r="BG95" i="40"/>
  <c r="AT95" i="40"/>
  <c r="AR95" i="40" s="1"/>
  <c r="AD95" i="40"/>
  <c r="AD185" i="40" s="1"/>
  <c r="AD191" i="40" s="1"/>
  <c r="AD193" i="40" s="1"/>
  <c r="AD197" i="40" s="1"/>
  <c r="AB95" i="40"/>
  <c r="AB146" i="40" s="1"/>
  <c r="X95" i="40"/>
  <c r="W95" i="40"/>
  <c r="CJ95" i="40" s="1"/>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s="1"/>
  <c r="BE94" i="40" s="1"/>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s="1"/>
  <c r="AR93" i="40"/>
  <c r="AI93" i="40"/>
  <c r="Z93" i="40"/>
  <c r="Z185" i="40" s="1"/>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s="1"/>
  <c r="AI92" i="40"/>
  <c r="Y92" i="40"/>
  <c r="U92" i="40"/>
  <c r="BS92" i="40" s="1"/>
  <c r="CG92" i="40" s="1"/>
  <c r="S92" i="40"/>
  <c r="CT91" i="40"/>
  <c r="CS91" i="40"/>
  <c r="CR91" i="40"/>
  <c r="CQ91" i="40"/>
  <c r="CQ185" i="40" s="1"/>
  <c r="CQ191" i="40" s="1"/>
  <c r="CQ193" i="40" s="1"/>
  <c r="CP91" i="40"/>
  <c r="CP185" i="40" s="1"/>
  <c r="CO91" i="40"/>
  <c r="CN91" i="40"/>
  <c r="CM91" i="40"/>
  <c r="CL91" i="40"/>
  <c r="CK91" i="40"/>
  <c r="CI91" i="40"/>
  <c r="BT91" i="40"/>
  <c r="BR91" i="40"/>
  <c r="BQ91" i="40"/>
  <c r="BP91" i="40"/>
  <c r="BO91" i="40"/>
  <c r="BN91" i="40"/>
  <c r="BM91" i="40"/>
  <c r="BL91" i="40"/>
  <c r="BK91" i="40"/>
  <c r="BK185" i="40" s="1"/>
  <c r="BJ91" i="40"/>
  <c r="BI91" i="40"/>
  <c r="BG91" i="40"/>
  <c r="AR91" i="40"/>
  <c r="AI91" i="40"/>
  <c r="W91" i="40"/>
  <c r="W185" i="40" s="1"/>
  <c r="W191" i="40" s="1"/>
  <c r="W193" i="40" s="1"/>
  <c r="W197" i="40" s="1"/>
  <c r="CT90" i="40"/>
  <c r="CS90" i="40"/>
  <c r="CR90" i="40"/>
  <c r="CQ90" i="40"/>
  <c r="CP90" i="40"/>
  <c r="CO90" i="40"/>
  <c r="CN90" i="40"/>
  <c r="CM90" i="40"/>
  <c r="CL90" i="40"/>
  <c r="CK90" i="40"/>
  <c r="CJ90" i="40"/>
  <c r="CI90" i="40"/>
  <c r="CH90" i="40" s="1"/>
  <c r="BT90" i="40"/>
  <c r="BR90" i="40"/>
  <c r="BQ90" i="40"/>
  <c r="BP90" i="40"/>
  <c r="BO90" i="40"/>
  <c r="BN90" i="40"/>
  <c r="BM90" i="40"/>
  <c r="BL90" i="40"/>
  <c r="BK90" i="40"/>
  <c r="BJ90" i="40"/>
  <c r="BI90" i="40"/>
  <c r="BH90" i="40"/>
  <c r="BG90" i="40"/>
  <c r="AR90" i="40"/>
  <c r="AQ90" i="40"/>
  <c r="BE90" i="40" s="1"/>
  <c r="AI90" i="40"/>
  <c r="U90" i="40"/>
  <c r="BS90" i="40" s="1"/>
  <c r="CG90" i="40" s="1"/>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s="1"/>
  <c r="U89" i="40"/>
  <c r="Q89" i="40"/>
  <c r="S89" i="40" s="1"/>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s="1"/>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s="1"/>
  <c r="AJ85" i="40"/>
  <c r="AJ86" i="40" s="1"/>
  <c r="AI85" i="40"/>
  <c r="AC85" i="40"/>
  <c r="CP85" i="40" s="1"/>
  <c r="V85" i="40"/>
  <c r="U85" i="40" s="1"/>
  <c r="S85" i="40" s="1"/>
  <c r="CT84" i="40"/>
  <c r="CS84" i="40"/>
  <c r="CR84" i="40"/>
  <c r="CQ84" i="40"/>
  <c r="CP84" i="40"/>
  <c r="CO84" i="40"/>
  <c r="CN84" i="40"/>
  <c r="CM84" i="40"/>
  <c r="CL84" i="40"/>
  <c r="CK84" i="40"/>
  <c r="CJ84" i="40"/>
  <c r="CI84" i="40"/>
  <c r="CH84" i="40"/>
  <c r="BT84" i="40"/>
  <c r="BR84" i="40"/>
  <c r="BQ84" i="40"/>
  <c r="BP84" i="40"/>
  <c r="BO84" i="40"/>
  <c r="BN84" i="40"/>
  <c r="BM84" i="40"/>
  <c r="BF84" i="40" s="1"/>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s="1"/>
  <c r="CN82" i="40"/>
  <c r="CM82" i="40"/>
  <c r="CL82" i="40"/>
  <c r="CK82" i="40"/>
  <c r="CJ82" i="40"/>
  <c r="CI82" i="40"/>
  <c r="BT82" i="40"/>
  <c r="BR82" i="40"/>
  <c r="BQ82" i="40"/>
  <c r="BP82" i="40"/>
  <c r="BO82" i="40"/>
  <c r="BM82" i="40"/>
  <c r="BL82" i="40"/>
  <c r="BK82" i="40"/>
  <c r="BJ82" i="40"/>
  <c r="BI82" i="40"/>
  <c r="BH82" i="40"/>
  <c r="BG82" i="40"/>
  <c r="AR82" i="40"/>
  <c r="AI82" i="40"/>
  <c r="AC82" i="40"/>
  <c r="U82" i="40" s="1"/>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s="1"/>
  <c r="AB80" i="40"/>
  <c r="BM80" i="40" s="1"/>
  <c r="W80" i="40"/>
  <c r="U80" i="40" s="1"/>
  <c r="S80" i="40" s="1"/>
  <c r="CT79" i="40"/>
  <c r="CS79" i="40"/>
  <c r="CR79" i="40"/>
  <c r="CQ79" i="40"/>
  <c r="CP79" i="40"/>
  <c r="CN79" i="40"/>
  <c r="CM79" i="40"/>
  <c r="CL79" i="40"/>
  <c r="CK79" i="40"/>
  <c r="CI79" i="40"/>
  <c r="BV188" i="40" s="1"/>
  <c r="BR79" i="40"/>
  <c r="BQ79" i="40"/>
  <c r="BP79" i="40"/>
  <c r="BO79" i="40"/>
  <c r="BN79" i="40"/>
  <c r="BL79" i="40"/>
  <c r="BK79" i="40"/>
  <c r="BJ79" i="40"/>
  <c r="BI79" i="40"/>
  <c r="BG79" i="40"/>
  <c r="AY86" i="40" s="1"/>
  <c r="BH79" i="40" s="1"/>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s="1"/>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s="1"/>
  <c r="CT76" i="40"/>
  <c r="CS76" i="40"/>
  <c r="CR76" i="40"/>
  <c r="CQ76" i="40"/>
  <c r="CP76" i="40"/>
  <c r="CO76" i="40"/>
  <c r="CN76" i="40"/>
  <c r="CM76" i="40"/>
  <c r="CL76" i="40"/>
  <c r="CK76" i="40"/>
  <c r="CJ76" i="40"/>
  <c r="CI76" i="40"/>
  <c r="BT76" i="40"/>
  <c r="BS76" i="40"/>
  <c r="CG76" i="40" s="1"/>
  <c r="BR76" i="40"/>
  <c r="BQ76" i="40"/>
  <c r="BP76" i="40"/>
  <c r="BO76" i="40"/>
  <c r="BN76" i="40"/>
  <c r="BM76" i="40"/>
  <c r="BL76" i="40"/>
  <c r="BK76" i="40"/>
  <c r="BJ76" i="40"/>
  <c r="BI76" i="40"/>
  <c r="BH76" i="40"/>
  <c r="BG76" i="40"/>
  <c r="BF76" i="40" s="1"/>
  <c r="AR76" i="40"/>
  <c r="AQ76" i="40"/>
  <c r="BE76" i="40" s="1"/>
  <c r="AI76" i="40"/>
  <c r="U76" i="40"/>
  <c r="S76" i="40" s="1"/>
  <c r="CT75" i="40"/>
  <c r="CS75" i="40"/>
  <c r="CR75" i="40"/>
  <c r="CQ75" i="40"/>
  <c r="CP75" i="40"/>
  <c r="CO75" i="40"/>
  <c r="CN75" i="40"/>
  <c r="CM75" i="40"/>
  <c r="CL75" i="40"/>
  <c r="CK75" i="40"/>
  <c r="CJ75" i="40"/>
  <c r="CH75" i="40" s="1"/>
  <c r="CI75" i="40"/>
  <c r="BT75" i="40"/>
  <c r="BS75" i="40" s="1"/>
  <c r="CG75" i="40" s="1"/>
  <c r="BR75" i="40"/>
  <c r="BQ75" i="40"/>
  <c r="BP75" i="40"/>
  <c r="BO75" i="40"/>
  <c r="BN75" i="40"/>
  <c r="BM75" i="40"/>
  <c r="BL75" i="40"/>
  <c r="BK75" i="40"/>
  <c r="BJ75" i="40"/>
  <c r="BI75" i="40"/>
  <c r="BH75" i="40"/>
  <c r="BG75" i="40"/>
  <c r="BF75" i="40"/>
  <c r="AR75" i="40"/>
  <c r="AQ75" i="40" s="1"/>
  <c r="BE75" i="40" s="1"/>
  <c r="AI75" i="40"/>
  <c r="U75" i="40"/>
  <c r="S75" i="40"/>
  <c r="CT74" i="40"/>
  <c r="CS74" i="40"/>
  <c r="CR74" i="40"/>
  <c r="CQ74" i="40"/>
  <c r="CO74" i="40"/>
  <c r="CN74" i="40"/>
  <c r="CM74" i="40"/>
  <c r="CL74" i="40"/>
  <c r="CK74" i="40"/>
  <c r="CJ74" i="40"/>
  <c r="CI74" i="40"/>
  <c r="CP74" i="40" s="1"/>
  <c r="BR74" i="40"/>
  <c r="BQ74" i="40"/>
  <c r="BP74" i="40"/>
  <c r="BO74" i="40"/>
  <c r="BM74" i="40"/>
  <c r="BL74" i="40"/>
  <c r="BK74" i="40"/>
  <c r="BJ74" i="40"/>
  <c r="BI74" i="40"/>
  <c r="BH74" i="40"/>
  <c r="BG74" i="40"/>
  <c r="AR74" i="40" s="1"/>
  <c r="AI74" i="40"/>
  <c r="U74" i="40"/>
  <c r="S74" i="40" s="1"/>
  <c r="CT73" i="40"/>
  <c r="CS73" i="40"/>
  <c r="CR73" i="40"/>
  <c r="CQ73" i="40"/>
  <c r="CP73" i="40"/>
  <c r="CO73" i="40"/>
  <c r="CN73" i="40"/>
  <c r="CM73" i="40"/>
  <c r="CL73" i="40"/>
  <c r="CH73" i="40" s="1"/>
  <c r="CK73" i="40"/>
  <c r="CJ73" i="40"/>
  <c r="CI73" i="40"/>
  <c r="BT73" i="40"/>
  <c r="BS73" i="40"/>
  <c r="CG73" i="40" s="1"/>
  <c r="BR73" i="40"/>
  <c r="BQ73" i="40"/>
  <c r="BP73" i="40"/>
  <c r="BO73" i="40"/>
  <c r="BM73" i="40"/>
  <c r="BL73" i="40"/>
  <c r="BK73" i="40"/>
  <c r="BJ73" i="40"/>
  <c r="BI73" i="40"/>
  <c r="BG73" i="40"/>
  <c r="AT73" i="40"/>
  <c r="BH73" i="40" s="1"/>
  <c r="AI73" i="40"/>
  <c r="U73" i="40"/>
  <c r="S73" i="40"/>
  <c r="CT72" i="40"/>
  <c r="CS72" i="40"/>
  <c r="CS188" i="40" s="1"/>
  <c r="CR72" i="40"/>
  <c r="CQ72" i="40"/>
  <c r="CO72" i="40"/>
  <c r="CN72" i="40"/>
  <c r="CM72" i="40"/>
  <c r="CM188" i="40" s="1"/>
  <c r="CL72" i="40"/>
  <c r="CK72" i="40"/>
  <c r="BR72" i="40"/>
  <c r="BQ72" i="40"/>
  <c r="BP72" i="40"/>
  <c r="BO72" i="40"/>
  <c r="BM72" i="40"/>
  <c r="BL72" i="40"/>
  <c r="BL188" i="40" s="1"/>
  <c r="BK72" i="40"/>
  <c r="BJ72" i="40"/>
  <c r="BI72" i="40"/>
  <c r="BH72" i="40"/>
  <c r="BG72" i="40" s="1"/>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s="1"/>
  <c r="AI71" i="40"/>
  <c r="U71" i="40"/>
  <c r="S71" i="40" s="1"/>
  <c r="CT70" i="40"/>
  <c r="CS70" i="40"/>
  <c r="CR70" i="40"/>
  <c r="CQ70" i="40"/>
  <c r="CP70" i="40"/>
  <c r="CO70" i="40"/>
  <c r="CN70" i="40"/>
  <c r="CM70" i="40"/>
  <c r="CL70" i="40"/>
  <c r="CK70" i="40"/>
  <c r="CJ70" i="40"/>
  <c r="CI70" i="40" s="1"/>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s="1"/>
  <c r="AI69" i="40"/>
  <c r="U69" i="40"/>
  <c r="S69" i="40" s="1"/>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s="1"/>
  <c r="U67" i="40"/>
  <c r="CT66" i="40"/>
  <c r="CS66" i="40"/>
  <c r="CR66" i="40"/>
  <c r="CQ66" i="40"/>
  <c r="CP66" i="40"/>
  <c r="CO66" i="40"/>
  <c r="CN66" i="40"/>
  <c r="CM66" i="40"/>
  <c r="CL66" i="40"/>
  <c r="CK66" i="40"/>
  <c r="CJ66" i="40"/>
  <c r="CH66" i="40" s="1"/>
  <c r="CI66" i="40"/>
  <c r="BT66" i="40"/>
  <c r="BS66" i="40" s="1"/>
  <c r="CG66" i="40" s="1"/>
  <c r="BR66" i="40"/>
  <c r="BQ66" i="40"/>
  <c r="BP66" i="40"/>
  <c r="BO66" i="40"/>
  <c r="BN66" i="40"/>
  <c r="BM66" i="40"/>
  <c r="BL66" i="40"/>
  <c r="BK66" i="40"/>
  <c r="BJ66" i="40"/>
  <c r="BF66" i="40" s="1"/>
  <c r="BI66" i="40"/>
  <c r="BH66" i="40"/>
  <c r="BG66" i="40"/>
  <c r="AR66" i="40"/>
  <c r="U66" i="40"/>
  <c r="CT65" i="40"/>
  <c r="CS65" i="40"/>
  <c r="CR65" i="40"/>
  <c r="CQ65" i="40"/>
  <c r="CP65" i="40"/>
  <c r="CO65" i="40"/>
  <c r="CN65" i="40"/>
  <c r="CM65" i="40"/>
  <c r="CL65" i="40"/>
  <c r="CK65" i="40"/>
  <c r="CJ65" i="40"/>
  <c r="CI65" i="40"/>
  <c r="BT65" i="40"/>
  <c r="BS65" i="40"/>
  <c r="CG65" i="40" s="1"/>
  <c r="BR65" i="40"/>
  <c r="BQ65" i="40"/>
  <c r="BP65" i="40"/>
  <c r="BO65" i="40"/>
  <c r="BN65" i="40"/>
  <c r="BM65" i="40"/>
  <c r="BL65" i="40"/>
  <c r="BK65" i="40"/>
  <c r="BJ65" i="40"/>
  <c r="BI65" i="40"/>
  <c r="BH65" i="40"/>
  <c r="BG65" i="40"/>
  <c r="BF65" i="40" s="1"/>
  <c r="AR65" i="40"/>
  <c r="AQ65" i="40"/>
  <c r="BE65" i="40" s="1"/>
  <c r="U65" i="40"/>
  <c r="CT64" i="40"/>
  <c r="CS64" i="40"/>
  <c r="CR64" i="40"/>
  <c r="CQ64" i="40"/>
  <c r="CP64" i="40"/>
  <c r="CO64" i="40"/>
  <c r="CN64" i="40"/>
  <c r="CM64" i="40"/>
  <c r="CL64" i="40"/>
  <c r="CK64" i="40"/>
  <c r="CJ64" i="40"/>
  <c r="CI64" i="40"/>
  <c r="BT64" i="40"/>
  <c r="BS64" i="40" s="1"/>
  <c r="CG64" i="40" s="1"/>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s="1"/>
  <c r="U63" i="40"/>
  <c r="BS63" i="40" s="1"/>
  <c r="CG63" i="40" s="1"/>
  <c r="CT62" i="40"/>
  <c r="CS62" i="40"/>
  <c r="CR62" i="40"/>
  <c r="CQ62" i="40"/>
  <c r="CP62" i="40"/>
  <c r="CO62" i="40"/>
  <c r="CN62" i="40"/>
  <c r="CM62" i="40"/>
  <c r="CL62" i="40"/>
  <c r="CH62" i="40" s="1"/>
  <c r="CK62" i="40"/>
  <c r="CJ62" i="40"/>
  <c r="CI62" i="40"/>
  <c r="BT62" i="40"/>
  <c r="BR62" i="40"/>
  <c r="BQ62" i="40"/>
  <c r="BP62" i="40"/>
  <c r="BO62" i="40"/>
  <c r="BN62" i="40"/>
  <c r="BM62" i="40"/>
  <c r="BL62" i="40"/>
  <c r="BK62" i="40"/>
  <c r="BF62" i="40" s="1"/>
  <c r="BJ62" i="40"/>
  <c r="BI62" i="40"/>
  <c r="BH62" i="40"/>
  <c r="BG62" i="40"/>
  <c r="AR62" i="40"/>
  <c r="U62" i="40"/>
  <c r="BS62" i="40" s="1"/>
  <c r="CG62" i="40" s="1"/>
  <c r="CT61" i="40"/>
  <c r="CS61" i="40"/>
  <c r="CR61" i="40"/>
  <c r="CQ61" i="40"/>
  <c r="CP61" i="40"/>
  <c r="CO61" i="40"/>
  <c r="CN61" i="40"/>
  <c r="CM61" i="40"/>
  <c r="CL61" i="40"/>
  <c r="CK61" i="40"/>
  <c r="CJ61" i="40"/>
  <c r="CI61" i="40"/>
  <c r="CH61" i="40" s="1"/>
  <c r="BT61" i="40"/>
  <c r="BS61" i="40"/>
  <c r="CG61" i="40" s="1"/>
  <c r="BR61" i="40"/>
  <c r="BQ61" i="40"/>
  <c r="BP61" i="40"/>
  <c r="BO61" i="40"/>
  <c r="BN61" i="40"/>
  <c r="BM61" i="40"/>
  <c r="BL61" i="40"/>
  <c r="BK61" i="40"/>
  <c r="BK187" i="40" s="1"/>
  <c r="BJ61" i="40"/>
  <c r="BI61" i="40"/>
  <c r="BH61" i="40"/>
  <c r="BG61" i="40"/>
  <c r="BF61" i="40" s="1"/>
  <c r="AR61" i="40"/>
  <c r="AQ61" i="40" s="1"/>
  <c r="BE61" i="40" s="1"/>
  <c r="U61" i="40"/>
  <c r="CT60" i="40"/>
  <c r="CS60" i="40"/>
  <c r="CR60" i="40"/>
  <c r="CQ60" i="40"/>
  <c r="CP60" i="40"/>
  <c r="CO60" i="40"/>
  <c r="CN60" i="40"/>
  <c r="CM60" i="40"/>
  <c r="CL60" i="40"/>
  <c r="CK60" i="40"/>
  <c r="CJ60" i="40"/>
  <c r="CI60" i="40"/>
  <c r="CH60" i="40"/>
  <c r="CG60" i="40"/>
  <c r="BT60" i="40"/>
  <c r="BS60" i="40" s="1"/>
  <c r="BR60" i="40"/>
  <c r="BQ60" i="40"/>
  <c r="BP60" i="40"/>
  <c r="BO60" i="40"/>
  <c r="BN60" i="40"/>
  <c r="BN187" i="40" s="1"/>
  <c r="BM60" i="40"/>
  <c r="BM187" i="40" s="1"/>
  <c r="BL60" i="40"/>
  <c r="BK60" i="40"/>
  <c r="BJ60" i="40"/>
  <c r="BI60" i="40"/>
  <c r="BH60" i="40"/>
  <c r="BG60" i="40"/>
  <c r="BE60" i="40"/>
  <c r="AR60" i="40"/>
  <c r="AQ60" i="40" s="1"/>
  <c r="AI60" i="40"/>
  <c r="AI187" i="40" s="1"/>
  <c r="U60" i="40"/>
  <c r="S60" i="40"/>
  <c r="CT59" i="40"/>
  <c r="CS59" i="40"/>
  <c r="CR59" i="40"/>
  <c r="CQ59" i="40"/>
  <c r="CP59" i="40"/>
  <c r="CO59" i="40"/>
  <c r="CN59" i="40"/>
  <c r="CM59" i="40"/>
  <c r="CL59" i="40"/>
  <c r="CK59" i="40"/>
  <c r="CJ59" i="40"/>
  <c r="CI59" i="40"/>
  <c r="CH59" i="40" s="1"/>
  <c r="BT59" i="40"/>
  <c r="BS59" i="40"/>
  <c r="CG59" i="40" s="1"/>
  <c r="BR59" i="40"/>
  <c r="BQ59" i="40"/>
  <c r="BP59" i="40"/>
  <c r="BO59" i="40"/>
  <c r="BN59" i="40"/>
  <c r="BM59" i="40"/>
  <c r="BL59" i="40"/>
  <c r="BK59" i="40"/>
  <c r="BJ59" i="40"/>
  <c r="BI59" i="40"/>
  <c r="BH59" i="40"/>
  <c r="BG59" i="40"/>
  <c r="AR59" i="40"/>
  <c r="AQ59" i="40"/>
  <c r="BE59" i="40" s="1"/>
  <c r="U59" i="40"/>
  <c r="CT58" i="40"/>
  <c r="CS58" i="40"/>
  <c r="CR58" i="40"/>
  <c r="CQ58" i="40"/>
  <c r="CP58" i="40"/>
  <c r="CO58" i="40"/>
  <c r="CN58" i="40"/>
  <c r="CM58" i="40"/>
  <c r="CL58" i="40"/>
  <c r="CK58" i="40"/>
  <c r="CJ58" i="40"/>
  <c r="CI58" i="40"/>
  <c r="BT58" i="40"/>
  <c r="BS58" i="40" s="1"/>
  <c r="CG58" i="40" s="1"/>
  <c r="BR58" i="40"/>
  <c r="BQ58" i="40"/>
  <c r="BP58" i="40"/>
  <c r="BO58" i="40"/>
  <c r="BM58" i="40"/>
  <c r="BL58" i="40"/>
  <c r="BK58" i="40"/>
  <c r="BJ58" i="40"/>
  <c r="BI58" i="40"/>
  <c r="BH58" i="40"/>
  <c r="BG58" i="40"/>
  <c r="BN58" i="40" s="1"/>
  <c r="U58" i="40"/>
  <c r="CT57" i="40"/>
  <c r="CS57" i="40"/>
  <c r="CR57" i="40"/>
  <c r="CQ57" i="40"/>
  <c r="CP57" i="40"/>
  <c r="CO57" i="40"/>
  <c r="CH57" i="40" s="1"/>
  <c r="CN57" i="40"/>
  <c r="CM57" i="40"/>
  <c r="CL57" i="40"/>
  <c r="CK57" i="40"/>
  <c r="CJ57" i="40"/>
  <c r="CI57" i="40"/>
  <c r="CG57" i="40"/>
  <c r="BT57" i="40"/>
  <c r="BS57" i="40" s="1"/>
  <c r="BR57" i="40"/>
  <c r="BQ57" i="40"/>
  <c r="BP57" i="40"/>
  <c r="BO57" i="40"/>
  <c r="BN57" i="40"/>
  <c r="BM57" i="40"/>
  <c r="BL57" i="40"/>
  <c r="BK57" i="40"/>
  <c r="BJ57" i="40"/>
  <c r="BI57" i="40"/>
  <c r="BH57" i="40"/>
  <c r="BF57" i="40" s="1"/>
  <c r="BG57" i="40"/>
  <c r="BE57" i="40"/>
  <c r="AR57" i="40"/>
  <c r="AQ57" i="40" s="1"/>
  <c r="U57" i="40"/>
  <c r="CT56" i="40"/>
  <c r="CS56" i="40"/>
  <c r="CR56" i="40"/>
  <c r="CQ56" i="40"/>
  <c r="CP56" i="40"/>
  <c r="CO56" i="40"/>
  <c r="CH56" i="40" s="1"/>
  <c r="CN56" i="40"/>
  <c r="CM56" i="40"/>
  <c r="CL56" i="40"/>
  <c r="CK56" i="40"/>
  <c r="CJ56" i="40"/>
  <c r="CI56" i="40"/>
  <c r="CG56" i="40"/>
  <c r="BT56" i="40"/>
  <c r="BS56" i="40"/>
  <c r="BR56" i="40"/>
  <c r="BQ56" i="40"/>
  <c r="BP56" i="40"/>
  <c r="BO56" i="40"/>
  <c r="BN56" i="40"/>
  <c r="BM56" i="40"/>
  <c r="BF56" i="40" s="1"/>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s="1"/>
  <c r="CG55" i="40" s="1"/>
  <c r="BR55" i="40"/>
  <c r="BQ55" i="40"/>
  <c r="BP55" i="40"/>
  <c r="BO55" i="40"/>
  <c r="BN55" i="40"/>
  <c r="BM55" i="40"/>
  <c r="BL55" i="40"/>
  <c r="BK55" i="40"/>
  <c r="BJ55" i="40"/>
  <c r="BI55" i="40"/>
  <c r="BH55" i="40"/>
  <c r="BG55" i="40"/>
  <c r="BF55" i="40" s="1"/>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s="1"/>
  <c r="U54" i="40"/>
  <c r="BS54" i="40" s="1"/>
  <c r="CG54" i="40" s="1"/>
  <c r="CT53" i="40"/>
  <c r="CS53" i="40"/>
  <c r="CR53" i="40"/>
  <c r="CQ53" i="40"/>
  <c r="CP53" i="40"/>
  <c r="CO53" i="40"/>
  <c r="CN53" i="40"/>
  <c r="CM53" i="40"/>
  <c r="CL53" i="40"/>
  <c r="CK53" i="40"/>
  <c r="CJ53" i="40"/>
  <c r="CI53" i="40"/>
  <c r="BT53" i="40"/>
  <c r="BS53" i="40"/>
  <c r="CG53" i="40" s="1"/>
  <c r="BR53" i="40"/>
  <c r="BQ53" i="40"/>
  <c r="BP53" i="40"/>
  <c r="BO53" i="40"/>
  <c r="BN53" i="40"/>
  <c r="BM53" i="40"/>
  <c r="BL53" i="40"/>
  <c r="BK53" i="40"/>
  <c r="BJ53" i="40"/>
  <c r="BI53" i="40"/>
  <c r="BH53" i="40"/>
  <c r="BG53" i="40"/>
  <c r="AR53" i="40"/>
  <c r="AQ53" i="40"/>
  <c r="BE53" i="40" s="1"/>
  <c r="U53" i="40"/>
  <c r="CT52" i="40"/>
  <c r="CS52" i="40"/>
  <c r="CR52" i="40"/>
  <c r="CQ52" i="40"/>
  <c r="CP52" i="40"/>
  <c r="CO52" i="40"/>
  <c r="CN52" i="40"/>
  <c r="CM52" i="40"/>
  <c r="CL52" i="40"/>
  <c r="CK52" i="40"/>
  <c r="CJ52" i="40"/>
  <c r="CI52" i="40" s="1"/>
  <c r="BR52" i="40"/>
  <c r="BQ52" i="40"/>
  <c r="BP52" i="40"/>
  <c r="BO52" i="40"/>
  <c r="BN52" i="40"/>
  <c r="BM52" i="40"/>
  <c r="BL52" i="40"/>
  <c r="BK52" i="40"/>
  <c r="BJ52" i="40"/>
  <c r="BI52" i="40"/>
  <c r="BH52" i="40"/>
  <c r="AR52" i="40" s="1"/>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s="1"/>
  <c r="U51" i="40"/>
  <c r="CT50" i="40"/>
  <c r="CS50" i="40"/>
  <c r="CR50" i="40"/>
  <c r="CQ50" i="40"/>
  <c r="CP50" i="40"/>
  <c r="CO50" i="40"/>
  <c r="CN50" i="40"/>
  <c r="CM50" i="40"/>
  <c r="CL50" i="40"/>
  <c r="CH50" i="40" s="1"/>
  <c r="CK50" i="40"/>
  <c r="CJ50" i="40"/>
  <c r="CI50" i="40"/>
  <c r="BT50" i="40"/>
  <c r="BS50" i="40" s="1"/>
  <c r="CG50" i="40" s="1"/>
  <c r="BR50" i="40"/>
  <c r="BQ50" i="40"/>
  <c r="BP50" i="40"/>
  <c r="BO50" i="40"/>
  <c r="BN50" i="40"/>
  <c r="BM50" i="40"/>
  <c r="BL50" i="40"/>
  <c r="BK50" i="40"/>
  <c r="BJ50" i="40"/>
  <c r="BI50" i="40"/>
  <c r="BH50" i="40"/>
  <c r="AR50" i="40" s="1"/>
  <c r="AQ50" i="40" s="1"/>
  <c r="BE50" i="40" s="1"/>
  <c r="AO50" i="40"/>
  <c r="AI50" i="40"/>
  <c r="U50" i="40"/>
  <c r="S50" i="40"/>
  <c r="CT49" i="40"/>
  <c r="CS49" i="40"/>
  <c r="CR49" i="40"/>
  <c r="CQ49" i="40"/>
  <c r="CP49" i="40"/>
  <c r="CO49" i="40"/>
  <c r="CN49" i="40"/>
  <c r="CM49" i="40"/>
  <c r="CL49" i="40"/>
  <c r="CK49" i="40"/>
  <c r="CJ49" i="40"/>
  <c r="CI49" i="40"/>
  <c r="CH49" i="40" s="1"/>
  <c r="BT49" i="40"/>
  <c r="BS49" i="40"/>
  <c r="CG49" i="40" s="1"/>
  <c r="BR49" i="40"/>
  <c r="BQ49" i="40"/>
  <c r="BP49" i="40"/>
  <c r="BO49" i="40"/>
  <c r="BM49" i="40"/>
  <c r="BL49" i="40"/>
  <c r="BK49" i="40"/>
  <c r="BJ49" i="40"/>
  <c r="BI49" i="40"/>
  <c r="BH49" i="40"/>
  <c r="BG49" i="40"/>
  <c r="AR49" i="40" s="1"/>
  <c r="AI49" i="40"/>
  <c r="U49" i="40"/>
  <c r="S49" i="40"/>
  <c r="CT48" i="40"/>
  <c r="CS48" i="40"/>
  <c r="CR48" i="40"/>
  <c r="CQ48" i="40"/>
  <c r="CP48" i="40"/>
  <c r="CO48" i="40"/>
  <c r="CN48" i="40"/>
  <c r="CM48" i="40"/>
  <c r="CL48" i="40"/>
  <c r="CK48" i="40"/>
  <c r="CJ48" i="40"/>
  <c r="CI48" i="40"/>
  <c r="BT48" i="40"/>
  <c r="BS48" i="40"/>
  <c r="CG48" i="40" s="1"/>
  <c r="BR48" i="40"/>
  <c r="BQ48" i="40"/>
  <c r="BP48" i="40"/>
  <c r="BO48" i="40"/>
  <c r="BN48" i="40"/>
  <c r="BM48" i="40"/>
  <c r="BL48" i="40"/>
  <c r="BK48" i="40"/>
  <c r="BJ48" i="40"/>
  <c r="BI48" i="40"/>
  <c r="BH48" i="40"/>
  <c r="BG48" i="40"/>
  <c r="AR48" i="40"/>
  <c r="AQ48" i="40"/>
  <c r="BE48" i="40" s="1"/>
  <c r="U48" i="40"/>
  <c r="CT47" i="40"/>
  <c r="CS47" i="40"/>
  <c r="CR47" i="40"/>
  <c r="CQ47" i="40"/>
  <c r="CO47" i="40"/>
  <c r="CN47" i="40"/>
  <c r="CM47" i="40"/>
  <c r="CL47" i="40"/>
  <c r="CK47" i="40"/>
  <c r="CJ47" i="40"/>
  <c r="CI47" i="40"/>
  <c r="BT47" i="40" s="1"/>
  <c r="BS47" i="40" s="1"/>
  <c r="CG47" i="40" s="1"/>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s="1"/>
  <c r="BE46" i="40" s="1"/>
  <c r="CT45" i="40"/>
  <c r="CS45" i="40"/>
  <c r="CR45" i="40"/>
  <c r="CQ45" i="40"/>
  <c r="CP45" i="40"/>
  <c r="CO45" i="40"/>
  <c r="CN45" i="40"/>
  <c r="CM45" i="40"/>
  <c r="CL45" i="40"/>
  <c r="CH45" i="40" s="1"/>
  <c r="CK45" i="40"/>
  <c r="CJ45" i="40"/>
  <c r="CI45" i="40"/>
  <c r="BT45" i="40"/>
  <c r="BS45" i="40" s="1"/>
  <c r="CG45" i="40" s="1"/>
  <c r="BR45" i="40"/>
  <c r="BQ45" i="40"/>
  <c r="BP45" i="40"/>
  <c r="BO45" i="40"/>
  <c r="BN45" i="40"/>
  <c r="BM45" i="40"/>
  <c r="BL45" i="40"/>
  <c r="BK45" i="40"/>
  <c r="BJ45" i="40"/>
  <c r="BF45" i="40" s="1"/>
  <c r="BI45" i="40"/>
  <c r="BH45" i="40"/>
  <c r="BG45" i="40"/>
  <c r="AR45" i="40"/>
  <c r="AQ45" i="40"/>
  <c r="BE45" i="40" s="1"/>
  <c r="U45" i="40"/>
  <c r="CT44" i="40"/>
  <c r="CS44" i="40"/>
  <c r="CR44" i="40"/>
  <c r="CQ44" i="40"/>
  <c r="CP44" i="40"/>
  <c r="CO44" i="40"/>
  <c r="CN44" i="40"/>
  <c r="CM44" i="40"/>
  <c r="CL44" i="40"/>
  <c r="CK44" i="40"/>
  <c r="CJ44" i="40"/>
  <c r="CI44" i="40"/>
  <c r="BT44" i="40"/>
  <c r="BS44" i="40"/>
  <c r="CG44" i="40" s="1"/>
  <c r="BR44" i="40"/>
  <c r="BQ44" i="40"/>
  <c r="BP44" i="40"/>
  <c r="BO44" i="40"/>
  <c r="BN44" i="40"/>
  <c r="BM44" i="40"/>
  <c r="BL44" i="40"/>
  <c r="BK44" i="40"/>
  <c r="BJ44" i="40"/>
  <c r="BI44" i="40"/>
  <c r="BH44" i="40"/>
  <c r="BG44" i="40"/>
  <c r="BF44" i="40" s="1"/>
  <c r="AR44" i="40"/>
  <c r="AQ44" i="40"/>
  <c r="BE44" i="40" s="1"/>
  <c r="AI44" i="40"/>
  <c r="U44" i="40"/>
  <c r="S44" i="40" s="1"/>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s="1"/>
  <c r="U43" i="40"/>
  <c r="CT42" i="40"/>
  <c r="CS42" i="40"/>
  <c r="CR42" i="40"/>
  <c r="CQ42" i="40"/>
  <c r="CO42" i="40"/>
  <c r="CN42" i="40"/>
  <c r="CM42" i="40"/>
  <c r="CL42" i="40"/>
  <c r="CK42" i="40"/>
  <c r="CJ42" i="40"/>
  <c r="CI42" i="40"/>
  <c r="CP42" i="40" s="1"/>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s="1"/>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s="1"/>
  <c r="BF40" i="40" s="1"/>
  <c r="U40" i="40"/>
  <c r="CT39" i="40"/>
  <c r="CS39" i="40"/>
  <c r="CR39" i="40"/>
  <c r="CQ39" i="40"/>
  <c r="CP39" i="40"/>
  <c r="CO39" i="40"/>
  <c r="CN39" i="40"/>
  <c r="CM39" i="40"/>
  <c r="CL39" i="40"/>
  <c r="CK39" i="40"/>
  <c r="CJ39" i="40"/>
  <c r="CI39" i="40"/>
  <c r="BT39" i="40"/>
  <c r="BS39" i="40" s="1"/>
  <c r="CG39" i="40" s="1"/>
  <c r="BR39" i="40"/>
  <c r="BQ39" i="40"/>
  <c r="BP39" i="40"/>
  <c r="BO39" i="40"/>
  <c r="BM39" i="40"/>
  <c r="BL39" i="40"/>
  <c r="BK39" i="40"/>
  <c r="BJ39" i="40"/>
  <c r="BI39" i="40"/>
  <c r="BH39" i="40"/>
  <c r="BG39" i="40"/>
  <c r="BN39" i="40" s="1"/>
  <c r="U39" i="40"/>
  <c r="CT38" i="40"/>
  <c r="CS38" i="40"/>
  <c r="CR38" i="40"/>
  <c r="CQ38" i="40"/>
  <c r="CP38" i="40"/>
  <c r="CO38" i="40"/>
  <c r="CN38" i="40"/>
  <c r="CM38" i="40"/>
  <c r="CL38" i="40"/>
  <c r="CK38" i="40"/>
  <c r="CJ38" i="40"/>
  <c r="CI38" i="40"/>
  <c r="BT38" i="40"/>
  <c r="BS38" i="40" s="1"/>
  <c r="CG38" i="40" s="1"/>
  <c r="BR38" i="40"/>
  <c r="BQ38" i="40"/>
  <c r="BP38" i="40"/>
  <c r="BO38" i="40"/>
  <c r="BN38" i="40"/>
  <c r="BM38" i="40"/>
  <c r="BL38" i="40"/>
  <c r="BK38" i="40"/>
  <c r="BJ38" i="40"/>
  <c r="BI38" i="40"/>
  <c r="BH38" i="40"/>
  <c r="BG38" i="40" s="1"/>
  <c r="U38" i="40"/>
  <c r="CT37" i="40"/>
  <c r="CS37" i="40"/>
  <c r="CR37" i="40"/>
  <c r="CQ37" i="40"/>
  <c r="CP37" i="40"/>
  <c r="CO37" i="40"/>
  <c r="CN37" i="40"/>
  <c r="CM37" i="40"/>
  <c r="CL37" i="40"/>
  <c r="CK37" i="40"/>
  <c r="CJ37" i="40"/>
  <c r="CH37" i="40" s="1"/>
  <c r="CI37" i="40"/>
  <c r="BT37" i="40"/>
  <c r="BS37" i="40" s="1"/>
  <c r="CG37" i="40" s="1"/>
  <c r="BR37" i="40"/>
  <c r="BQ37" i="40"/>
  <c r="BP37" i="40"/>
  <c r="BO37" i="40"/>
  <c r="BN37" i="40"/>
  <c r="BM37" i="40"/>
  <c r="BL37" i="40"/>
  <c r="BK37" i="40"/>
  <c r="BJ37" i="40"/>
  <c r="BI37" i="40"/>
  <c r="BH37" i="40"/>
  <c r="BG37" i="40"/>
  <c r="BF37" i="40"/>
  <c r="BE37" i="40"/>
  <c r="AR37" i="40"/>
  <c r="AQ37" i="40" s="1"/>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s="1"/>
  <c r="U36" i="40"/>
  <c r="BS36" i="40" s="1"/>
  <c r="CG36" i="40" s="1"/>
  <c r="CT35" i="40"/>
  <c r="CT86" i="40" s="1"/>
  <c r="CS35" i="40"/>
  <c r="CR35" i="40"/>
  <c r="CQ35" i="40"/>
  <c r="CP35" i="40"/>
  <c r="CO35" i="40"/>
  <c r="CN35" i="40"/>
  <c r="CM35" i="40"/>
  <c r="CL35" i="40"/>
  <c r="CK35" i="40"/>
  <c r="CJ35" i="40"/>
  <c r="BR35" i="40"/>
  <c r="BQ35" i="40"/>
  <c r="BP35" i="40"/>
  <c r="BO35" i="40"/>
  <c r="BN35" i="40"/>
  <c r="BM35" i="40"/>
  <c r="BL35" i="40"/>
  <c r="BK35" i="40"/>
  <c r="BJ35" i="40"/>
  <c r="BI35" i="40"/>
  <c r="BH35" i="40"/>
  <c r="AR35" i="40" s="1"/>
  <c r="AQ35" i="40" s="1"/>
  <c r="BE35" i="40" s="1"/>
  <c r="U35" i="40"/>
  <c r="CT34" i="40"/>
  <c r="CS34" i="40"/>
  <c r="CS86" i="40" s="1"/>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s="1"/>
  <c r="BE34" i="40" s="1"/>
  <c r="U34" i="40"/>
  <c r="CT33" i="40"/>
  <c r="CS33" i="40"/>
  <c r="CR33" i="40"/>
  <c r="CQ33" i="40"/>
  <c r="CP33" i="40"/>
  <c r="CO33" i="40"/>
  <c r="CN33" i="40"/>
  <c r="CM33" i="40"/>
  <c r="CL33" i="40"/>
  <c r="CK33" i="40"/>
  <c r="CJ33" i="40"/>
  <c r="CI33" i="40"/>
  <c r="BT33" i="40"/>
  <c r="BS33" i="40"/>
  <c r="CG33" i="40" s="1"/>
  <c r="BR33" i="40"/>
  <c r="BQ33" i="40"/>
  <c r="BP33" i="40"/>
  <c r="BO33" i="40"/>
  <c r="BN33" i="40"/>
  <c r="BM33" i="40"/>
  <c r="BL33" i="40"/>
  <c r="BK33" i="40"/>
  <c r="BJ33" i="40"/>
  <c r="BI33" i="40"/>
  <c r="BH33" i="40"/>
  <c r="BG33" i="40"/>
  <c r="AR33" i="40"/>
  <c r="U33" i="40"/>
  <c r="AQ33" i="40" s="1"/>
  <c r="BE33" i="40" s="1"/>
  <c r="CT32" i="40"/>
  <c r="CS32" i="40"/>
  <c r="CR32" i="40"/>
  <c r="CQ32" i="40"/>
  <c r="CP32" i="40"/>
  <c r="CO32" i="40"/>
  <c r="CN32" i="40"/>
  <c r="CM32" i="40"/>
  <c r="CL32" i="40"/>
  <c r="CH32" i="40" s="1"/>
  <c r="CK32" i="40"/>
  <c r="CJ32" i="40"/>
  <c r="CI32" i="40"/>
  <c r="BT32" i="40"/>
  <c r="BR32" i="40"/>
  <c r="BQ32" i="40"/>
  <c r="BP32" i="40"/>
  <c r="BO32" i="40"/>
  <c r="BN32" i="40"/>
  <c r="BM32" i="40"/>
  <c r="BL32" i="40"/>
  <c r="BK32" i="40"/>
  <c r="BJ32" i="40"/>
  <c r="BF32" i="40" s="1"/>
  <c r="BI32" i="40"/>
  <c r="BH32" i="40"/>
  <c r="BG32" i="40"/>
  <c r="AR32" i="40"/>
  <c r="AQ32" i="40" s="1"/>
  <c r="BE32" i="40" s="1"/>
  <c r="U32" i="40"/>
  <c r="BS32" i="40" s="1"/>
  <c r="CG32" i="40" s="1"/>
  <c r="CT31" i="40"/>
  <c r="CS31" i="40"/>
  <c r="CR31" i="40"/>
  <c r="CQ31" i="40"/>
  <c r="CP31" i="40"/>
  <c r="CO31" i="40"/>
  <c r="CN31" i="40"/>
  <c r="CM31" i="40"/>
  <c r="CL31" i="40"/>
  <c r="CK31" i="40"/>
  <c r="CJ31" i="40"/>
  <c r="CI31" i="40" s="1"/>
  <c r="BR31" i="40"/>
  <c r="BQ31" i="40"/>
  <c r="BP31" i="40"/>
  <c r="BO31" i="40"/>
  <c r="BN31" i="40"/>
  <c r="BM31" i="40"/>
  <c r="BL31" i="40"/>
  <c r="BK31" i="40"/>
  <c r="BJ31" i="40"/>
  <c r="BI31" i="40"/>
  <c r="BH31" i="40"/>
  <c r="BG31" i="40" s="1"/>
  <c r="BF31" i="40" s="1"/>
  <c r="U31" i="40"/>
  <c r="CT30" i="40"/>
  <c r="CS30" i="40"/>
  <c r="CR30" i="40"/>
  <c r="CQ30" i="40"/>
  <c r="CP30" i="40"/>
  <c r="CO30" i="40"/>
  <c r="CN30" i="40"/>
  <c r="CM30" i="40"/>
  <c r="CL30" i="40"/>
  <c r="CH30" i="40" s="1"/>
  <c r="CK30" i="40"/>
  <c r="CJ30" i="40"/>
  <c r="CI30" i="40"/>
  <c r="BT30" i="40"/>
  <c r="BR30" i="40"/>
  <c r="BQ30" i="40"/>
  <c r="BP30" i="40"/>
  <c r="BO30" i="40"/>
  <c r="BN30" i="40"/>
  <c r="BM30" i="40"/>
  <c r="BL30" i="40"/>
  <c r="BK30" i="40"/>
  <c r="BF30" i="40" s="1"/>
  <c r="BJ30" i="40"/>
  <c r="BI30" i="40"/>
  <c r="BH30" i="40"/>
  <c r="BG30" i="40"/>
  <c r="AR30" i="40"/>
  <c r="U30" i="40"/>
  <c r="BS30" i="40" s="1"/>
  <c r="CG30" i="40" s="1"/>
  <c r="CT29" i="40"/>
  <c r="CS29" i="40"/>
  <c r="CR29" i="40"/>
  <c r="CQ29" i="40"/>
  <c r="CP29" i="40"/>
  <c r="CO29" i="40"/>
  <c r="CN29" i="40"/>
  <c r="CM29" i="40"/>
  <c r="CL29" i="40"/>
  <c r="CK29" i="40"/>
  <c r="CJ29" i="40"/>
  <c r="CI29" i="40"/>
  <c r="CH29" i="40" s="1"/>
  <c r="BT29" i="40"/>
  <c r="BS29" i="40"/>
  <c r="CG29" i="40" s="1"/>
  <c r="BR29" i="40"/>
  <c r="BQ29" i="40"/>
  <c r="BP29" i="40"/>
  <c r="BO29" i="40"/>
  <c r="BN29" i="40"/>
  <c r="BM29" i="40"/>
  <c r="BL29" i="40"/>
  <c r="BK29" i="40"/>
  <c r="BJ29" i="40"/>
  <c r="BI29" i="40"/>
  <c r="BH29" i="40"/>
  <c r="BG29" i="40"/>
  <c r="BF29" i="40" s="1"/>
  <c r="AR29" i="40"/>
  <c r="AQ29" i="40" s="1"/>
  <c r="BE29" i="40" s="1"/>
  <c r="U29" i="40"/>
  <c r="CT28" i="40"/>
  <c r="CS28" i="40"/>
  <c r="CR28" i="40"/>
  <c r="CQ28" i="40"/>
  <c r="CP28" i="40"/>
  <c r="CO28" i="40"/>
  <c r="CN28" i="40"/>
  <c r="CM28" i="40"/>
  <c r="CL28" i="40"/>
  <c r="CK28" i="40"/>
  <c r="CJ28" i="40"/>
  <c r="CI28" i="40" s="1"/>
  <c r="BR28" i="40"/>
  <c r="BQ28" i="40"/>
  <c r="BQ86" i="40" s="1"/>
  <c r="BP28" i="40"/>
  <c r="BO28" i="40"/>
  <c r="BN28" i="40"/>
  <c r="BM28" i="40"/>
  <c r="BL28" i="40"/>
  <c r="BK28" i="40"/>
  <c r="BJ28" i="40"/>
  <c r="BI28" i="40"/>
  <c r="BI86" i="40" s="1"/>
  <c r="BH28" i="40"/>
  <c r="U28" i="40"/>
  <c r="CT27" i="40"/>
  <c r="CS27" i="40"/>
  <c r="CR27" i="40"/>
  <c r="CQ27" i="40"/>
  <c r="CP27" i="40"/>
  <c r="CO27" i="40"/>
  <c r="CN27" i="40"/>
  <c r="CM27" i="40"/>
  <c r="CL27" i="40"/>
  <c r="CK27" i="40"/>
  <c r="CJ27" i="40"/>
  <c r="CI27" i="40"/>
  <c r="BT27" i="40"/>
  <c r="BS27" i="40" s="1"/>
  <c r="CG27" i="40" s="1"/>
  <c r="BR27" i="40"/>
  <c r="BQ27" i="40"/>
  <c r="BP27" i="40"/>
  <c r="BO27" i="40"/>
  <c r="BN27" i="40"/>
  <c r="BM27" i="40"/>
  <c r="BL27" i="40"/>
  <c r="BK27" i="40"/>
  <c r="BJ27" i="40"/>
  <c r="BI27" i="40"/>
  <c r="BH27" i="40"/>
  <c r="BG27" i="40"/>
  <c r="AR27" i="40"/>
  <c r="AQ27" i="40"/>
  <c r="BE27" i="40" s="1"/>
  <c r="U27" i="40"/>
  <c r="CT26" i="40"/>
  <c r="CS26" i="40"/>
  <c r="CR26" i="40"/>
  <c r="CQ26" i="40"/>
  <c r="CP26" i="40"/>
  <c r="CO26" i="40"/>
  <c r="CN26" i="40"/>
  <c r="CM26" i="40"/>
  <c r="CL26" i="40"/>
  <c r="CK26" i="40"/>
  <c r="CJ26" i="40"/>
  <c r="CH26" i="40" s="1"/>
  <c r="CI26" i="40"/>
  <c r="CG26" i="40"/>
  <c r="BT26" i="40"/>
  <c r="BS26" i="40" s="1"/>
  <c r="BR26" i="40"/>
  <c r="BQ26" i="40"/>
  <c r="BP26" i="40"/>
  <c r="BO26" i="40"/>
  <c r="BN26" i="40"/>
  <c r="BM26" i="40"/>
  <c r="BL26" i="40"/>
  <c r="BK26" i="40"/>
  <c r="BJ26" i="40"/>
  <c r="BI26" i="40"/>
  <c r="BH26" i="40"/>
  <c r="BF26" i="40" s="1"/>
  <c r="BG26" i="40"/>
  <c r="AR26" i="40"/>
  <c r="AQ26" i="40" s="1"/>
  <c r="BE26" i="40" s="1"/>
  <c r="U26" i="40"/>
  <c r="CT25" i="40"/>
  <c r="CS25" i="40"/>
  <c r="CR25" i="40"/>
  <c r="CQ25" i="40"/>
  <c r="CP25" i="40"/>
  <c r="CO25" i="40"/>
  <c r="CN25" i="40"/>
  <c r="CM25" i="40"/>
  <c r="CL25" i="40"/>
  <c r="CK25" i="40"/>
  <c r="CJ25" i="40"/>
  <c r="CI25" i="40"/>
  <c r="CH25" i="40" s="1"/>
  <c r="CG25" i="40"/>
  <c r="BT25" i="40"/>
  <c r="BR25" i="40"/>
  <c r="BQ25" i="40"/>
  <c r="BP25" i="40"/>
  <c r="BO25" i="40"/>
  <c r="BN25" i="40"/>
  <c r="BM25" i="40"/>
  <c r="BL25" i="40"/>
  <c r="BK25" i="40"/>
  <c r="BJ25" i="40"/>
  <c r="BI25" i="40"/>
  <c r="BH25" i="40"/>
  <c r="U25" i="40"/>
  <c r="BS25" i="40" s="1"/>
  <c r="CT24" i="40"/>
  <c r="CS24" i="40"/>
  <c r="CR24" i="40"/>
  <c r="CQ24" i="40"/>
  <c r="CP24" i="40"/>
  <c r="CO24" i="40"/>
  <c r="CN24" i="40"/>
  <c r="CM24" i="40"/>
  <c r="CL24" i="40"/>
  <c r="CK24" i="40"/>
  <c r="CJ24" i="40"/>
  <c r="BR24" i="40"/>
  <c r="BQ24" i="40"/>
  <c r="BP24" i="40"/>
  <c r="BO24" i="40"/>
  <c r="BN24" i="40"/>
  <c r="BM24" i="40"/>
  <c r="BL24" i="40"/>
  <c r="BK24" i="40"/>
  <c r="BJ24" i="40"/>
  <c r="BI24" i="40"/>
  <c r="BH24" i="40"/>
  <c r="AR24" i="40" s="1"/>
  <c r="AL24" i="40"/>
  <c r="AI24" i="40"/>
  <c r="U24" i="40"/>
  <c r="S24" i="40" s="1"/>
  <c r="CT23" i="40"/>
  <c r="CS23" i="40"/>
  <c r="CR23" i="40"/>
  <c r="CQ23" i="40"/>
  <c r="CP23" i="40"/>
  <c r="CO23" i="40"/>
  <c r="CN23" i="40"/>
  <c r="CM23" i="40"/>
  <c r="CL23" i="40"/>
  <c r="CK23" i="40"/>
  <c r="CJ23" i="40"/>
  <c r="CI23" i="40"/>
  <c r="BT23" i="40"/>
  <c r="BS23" i="40"/>
  <c r="CG23" i="40" s="1"/>
  <c r="BR23" i="40"/>
  <c r="BQ23" i="40"/>
  <c r="BP23" i="40"/>
  <c r="BP86" i="40" s="1"/>
  <c r="BO23" i="40"/>
  <c r="BO86" i="40" s="1"/>
  <c r="BN23" i="40"/>
  <c r="BM23" i="40"/>
  <c r="BL23" i="40"/>
  <c r="BK23" i="40"/>
  <c r="BJ23" i="40"/>
  <c r="BI23" i="40"/>
  <c r="BH23" i="40"/>
  <c r="AI23" i="40"/>
  <c r="AI86" i="40" s="1"/>
  <c r="U23" i="40"/>
  <c r="S23" i="40"/>
  <c r="CK21" i="40"/>
  <c r="CF21" i="40"/>
  <c r="CE21" i="40"/>
  <c r="CD21" i="40"/>
  <c r="CC21" i="40"/>
  <c r="CA21" i="40"/>
  <c r="BZ21" i="40"/>
  <c r="BY21" i="40"/>
  <c r="BX21" i="40"/>
  <c r="BW21" i="40"/>
  <c r="BV21" i="40"/>
  <c r="BM21" i="40"/>
  <c r="BI21" i="40"/>
  <c r="BD21" i="40"/>
  <c r="BC21" i="40"/>
  <c r="BB21" i="40"/>
  <c r="BB183" i="40" s="1"/>
  <c r="BB195" i="40" s="1"/>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s="1"/>
  <c r="BR20" i="40"/>
  <c r="BQ20" i="40"/>
  <c r="BP20" i="40"/>
  <c r="BO20" i="40"/>
  <c r="BM20" i="40"/>
  <c r="BL20" i="40"/>
  <c r="BK20" i="40"/>
  <c r="BJ20" i="40"/>
  <c r="BI20" i="40"/>
  <c r="BH20" i="40"/>
  <c r="BG20" i="40"/>
  <c r="AR20" i="40" s="1"/>
  <c r="AP20" i="40"/>
  <c r="AO20" i="40"/>
  <c r="AN20" i="40"/>
  <c r="AM20" i="40"/>
  <c r="AL20" i="40"/>
  <c r="AK20" i="40"/>
  <c r="AJ20" i="40"/>
  <c r="AI20" i="40" s="1"/>
  <c r="U20" i="40"/>
  <c r="S20" i="40"/>
  <c r="CT19" i="40"/>
  <c r="CS19" i="40"/>
  <c r="CR19" i="40"/>
  <c r="CQ19" i="40"/>
  <c r="CP19" i="40"/>
  <c r="CO19" i="40"/>
  <c r="CN19" i="40"/>
  <c r="CM19" i="40"/>
  <c r="CL19" i="40"/>
  <c r="CK19" i="40"/>
  <c r="CJ19" i="40"/>
  <c r="BU190" i="40" s="1"/>
  <c r="BR19" i="40"/>
  <c r="BQ19" i="40"/>
  <c r="BP19" i="40"/>
  <c r="BO19" i="40"/>
  <c r="BN19" i="40"/>
  <c r="BM19" i="40"/>
  <c r="BL19" i="40"/>
  <c r="BK19" i="40"/>
  <c r="BJ19" i="40"/>
  <c r="BI19" i="40"/>
  <c r="BH19" i="40"/>
  <c r="BG19" i="40" s="1"/>
  <c r="AP19" i="40"/>
  <c r="AO19" i="40"/>
  <c r="AN19" i="40"/>
  <c r="AM19" i="40"/>
  <c r="AL19" i="40"/>
  <c r="AK19" i="40"/>
  <c r="AJ19" i="40"/>
  <c r="AI19" i="40" s="1"/>
  <c r="U19" i="40"/>
  <c r="S19" i="40"/>
  <c r="CT18" i="40"/>
  <c r="CS18" i="40"/>
  <c r="CR18" i="40"/>
  <c r="CQ18" i="40"/>
  <c r="CP18" i="40"/>
  <c r="CO18" i="40"/>
  <c r="CN18" i="40"/>
  <c r="CM18" i="40"/>
  <c r="CL18" i="40"/>
  <c r="CH18" i="40" s="1"/>
  <c r="CK18" i="40"/>
  <c r="CJ18" i="40"/>
  <c r="CI18" i="40"/>
  <c r="BT18" i="40"/>
  <c r="BR18" i="40"/>
  <c r="BR21" i="40" s="1"/>
  <c r="BQ18" i="40"/>
  <c r="BP18" i="40"/>
  <c r="BO18" i="40"/>
  <c r="BN18" i="40"/>
  <c r="BM18" i="40"/>
  <c r="BL18" i="40"/>
  <c r="BK18" i="40"/>
  <c r="BJ18" i="40"/>
  <c r="BF18" i="40" s="1"/>
  <c r="BI18" i="40"/>
  <c r="BH18" i="40"/>
  <c r="BG18" i="40"/>
  <c r="AR18" i="40"/>
  <c r="AQ18" i="40" s="1"/>
  <c r="BE18" i="40" s="1"/>
  <c r="AP18" i="40"/>
  <c r="AP190" i="40" s="1"/>
  <c r="AO18" i="40"/>
  <c r="AO190" i="40" s="1"/>
  <c r="AN18" i="40"/>
  <c r="AN190" i="40" s="1"/>
  <c r="AM18" i="40"/>
  <c r="AM190" i="40" s="1"/>
  <c r="AL18" i="40"/>
  <c r="AL190" i="40" s="1"/>
  <c r="AK18" i="40"/>
  <c r="AK190" i="40" s="1"/>
  <c r="AJ18" i="40"/>
  <c r="AJ190" i="40" s="1"/>
  <c r="U18" i="40"/>
  <c r="S18" i="40" s="1"/>
  <c r="CT17" i="40"/>
  <c r="CS17" i="40"/>
  <c r="CR17" i="40"/>
  <c r="CQ17" i="40"/>
  <c r="CP17" i="40"/>
  <c r="CO17" i="40"/>
  <c r="CH17" i="40" s="1"/>
  <c r="CN17" i="40"/>
  <c r="CM17" i="40"/>
  <c r="CL17" i="40"/>
  <c r="CK17" i="40"/>
  <c r="CJ17" i="40"/>
  <c r="CI17" i="40"/>
  <c r="CG17" i="40"/>
  <c r="BT17" i="40"/>
  <c r="BS17" i="40" s="1"/>
  <c r="BR17" i="40"/>
  <c r="BQ17" i="40"/>
  <c r="BP17" i="40"/>
  <c r="BO17" i="40"/>
  <c r="BN17" i="40"/>
  <c r="BM17" i="40"/>
  <c r="BL17" i="40"/>
  <c r="BK17" i="40"/>
  <c r="BJ17" i="40"/>
  <c r="BI17" i="40"/>
  <c r="BH17" i="40"/>
  <c r="BF17" i="40" s="1"/>
  <c r="BG17" i="40"/>
  <c r="AR17" i="40"/>
  <c r="AQ17" i="40" s="1"/>
  <c r="BE17" i="40" s="1"/>
  <c r="U17" i="40"/>
  <c r="CT16" i="40"/>
  <c r="CS16" i="40"/>
  <c r="CR16" i="40"/>
  <c r="CQ16" i="40"/>
  <c r="CP16" i="40"/>
  <c r="CO16" i="40"/>
  <c r="CO21" i="40" s="1"/>
  <c r="CN16" i="40"/>
  <c r="CM16" i="40"/>
  <c r="CL16" i="40"/>
  <c r="CK16" i="40"/>
  <c r="CJ16" i="40"/>
  <c r="CI16" i="40"/>
  <c r="CH16" i="40" s="1"/>
  <c r="CG16" i="40"/>
  <c r="BT16" i="40"/>
  <c r="BS16" i="40"/>
  <c r="BR16" i="40"/>
  <c r="BQ16" i="40"/>
  <c r="BP16" i="40"/>
  <c r="BO16" i="40"/>
  <c r="BN16" i="40"/>
  <c r="BM16" i="40"/>
  <c r="BL16" i="40"/>
  <c r="BK16" i="40"/>
  <c r="BJ16" i="40"/>
  <c r="BI16" i="40"/>
  <c r="BH16" i="40"/>
  <c r="BG16" i="40"/>
  <c r="BF16" i="40" s="1"/>
  <c r="BE16" i="40"/>
  <c r="AR16" i="40"/>
  <c r="AQ16" i="40"/>
  <c r="U16" i="40"/>
  <c r="CT15" i="40"/>
  <c r="CT21" i="40" s="1"/>
  <c r="CS15" i="40"/>
  <c r="CR15" i="40"/>
  <c r="CQ15" i="40"/>
  <c r="CP15" i="40"/>
  <c r="CO15" i="40"/>
  <c r="CN15" i="40"/>
  <c r="CM15" i="40"/>
  <c r="CL15" i="40"/>
  <c r="CH15" i="40" s="1"/>
  <c r="CK15" i="40"/>
  <c r="CJ15" i="40"/>
  <c r="CI15" i="40"/>
  <c r="BT15" i="40"/>
  <c r="BS15" i="40" s="1"/>
  <c r="CG15" i="40" s="1"/>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s="1"/>
  <c r="BT14" i="40"/>
  <c r="BS14" i="40"/>
  <c r="CG14" i="40" s="1"/>
  <c r="BR14" i="40"/>
  <c r="BQ14" i="40"/>
  <c r="BP14" i="40"/>
  <c r="BO14" i="40"/>
  <c r="BO21" i="40" s="1"/>
  <c r="BN14" i="40"/>
  <c r="BM14" i="40"/>
  <c r="BL14" i="40"/>
  <c r="BK14" i="40"/>
  <c r="BJ14" i="40"/>
  <c r="BI14" i="40"/>
  <c r="BH14" i="40"/>
  <c r="BG14" i="40"/>
  <c r="AR14" i="40"/>
  <c r="AQ14" i="40"/>
  <c r="BE14" i="40" s="1"/>
  <c r="U14" i="40"/>
  <c r="CT13" i="40"/>
  <c r="CS13" i="40"/>
  <c r="CR13" i="40"/>
  <c r="CQ13" i="40"/>
  <c r="CO13" i="40"/>
  <c r="CN13" i="40"/>
  <c r="CM13" i="40"/>
  <c r="CL13" i="40"/>
  <c r="CL21" i="40" s="1"/>
  <c r="CK13" i="40"/>
  <c r="CJ13" i="40"/>
  <c r="CI13" i="40"/>
  <c r="BT13" i="40"/>
  <c r="BR13" i="40"/>
  <c r="BQ13" i="40"/>
  <c r="BP13" i="40"/>
  <c r="BO13" i="40"/>
  <c r="BM13" i="40"/>
  <c r="BL13" i="40"/>
  <c r="BK13" i="40"/>
  <c r="BJ13" i="40"/>
  <c r="BI13" i="40"/>
  <c r="BH13" i="40"/>
  <c r="BG13" i="40"/>
  <c r="AR13" i="40"/>
  <c r="AQ13" i="40" s="1"/>
  <c r="BE13" i="40" s="1"/>
  <c r="AC13" i="40"/>
  <c r="U13" i="40" s="1"/>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s="1"/>
  <c r="H10" i="40"/>
  <c r="G10" i="40"/>
  <c r="CQ9" i="40"/>
  <c r="CP9" i="40"/>
  <c r="CO9" i="40"/>
  <c r="CM9" i="40"/>
  <c r="CL9" i="40"/>
  <c r="CI9" i="40"/>
  <c r="BT9" i="40"/>
  <c r="BO9" i="40"/>
  <c r="BN9" i="40"/>
  <c r="BJ9" i="40"/>
  <c r="BI9" i="40"/>
  <c r="BG9" i="40"/>
  <c r="AR9" i="40"/>
  <c r="AG9" i="40"/>
  <c r="CT9" i="40" s="1"/>
  <c r="AF9" i="40"/>
  <c r="BQ9" i="40" s="1"/>
  <c r="AE9" i="40"/>
  <c r="CR9" i="40" s="1"/>
  <c r="AB9" i="40"/>
  <c r="BM9" i="40" s="1"/>
  <c r="AA9" i="40"/>
  <c r="Z9" i="40"/>
  <c r="BK9" i="40" s="1"/>
  <c r="Y9" i="40"/>
  <c r="X9" i="40"/>
  <c r="CK9" i="40" s="1"/>
  <c r="W9" i="40"/>
  <c r="CJ9" i="40" s="1"/>
  <c r="CT8" i="40"/>
  <c r="CS8" i="40"/>
  <c r="CQ8" i="40"/>
  <c r="CO8" i="40"/>
  <c r="CM8" i="40"/>
  <c r="CK8" i="40"/>
  <c r="CJ8" i="40"/>
  <c r="BR8" i="40"/>
  <c r="BO8" i="40"/>
  <c r="BM8" i="40"/>
  <c r="BK8" i="40"/>
  <c r="BJ8" i="40"/>
  <c r="BI8" i="40"/>
  <c r="AP8" i="40"/>
  <c r="AO8" i="40"/>
  <c r="AN8" i="40"/>
  <c r="AM8" i="40"/>
  <c r="AL8" i="40"/>
  <c r="AK8" i="40"/>
  <c r="AJ8" i="40"/>
  <c r="AI8" i="40" s="1"/>
  <c r="AG8" i="40"/>
  <c r="AF8" i="40"/>
  <c r="BQ8" i="40" s="1"/>
  <c r="AE8" i="40"/>
  <c r="CR8" i="40" s="1"/>
  <c r="AB8" i="40"/>
  <c r="AA8" i="40"/>
  <c r="Z8" i="40"/>
  <c r="Y8" i="40"/>
  <c r="CL8" i="40" s="1"/>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s="1"/>
  <c r="AF7" i="40"/>
  <c r="AE7" i="40"/>
  <c r="BP7" i="40" s="1"/>
  <c r="AB7" i="40"/>
  <c r="CO7" i="40" s="1"/>
  <c r="AA7" i="40"/>
  <c r="Z7" i="40"/>
  <c r="BK7" i="40" s="1"/>
  <c r="Y7" i="40"/>
  <c r="CL7" i="40" s="1"/>
  <c r="X7" i="40"/>
  <c r="W7" i="40"/>
  <c r="CT6" i="40"/>
  <c r="CQ6" i="40"/>
  <c r="CO6" i="40"/>
  <c r="CM6" i="40"/>
  <c r="CK6" i="40"/>
  <c r="BR6" i="40"/>
  <c r="BQ6" i="40"/>
  <c r="BO6" i="40"/>
  <c r="BM6" i="40"/>
  <c r="BL6" i="40"/>
  <c r="BK6" i="40"/>
  <c r="BI6" i="40"/>
  <c r="AP6" i="40"/>
  <c r="AO6" i="40"/>
  <c r="AN6" i="40"/>
  <c r="AM6" i="40"/>
  <c r="AL6" i="40"/>
  <c r="AK6" i="40"/>
  <c r="AJ6" i="40"/>
  <c r="AI6" i="40" s="1"/>
  <c r="AG6" i="40"/>
  <c r="AF6" i="40"/>
  <c r="CS6" i="40" s="1"/>
  <c r="AE6" i="40"/>
  <c r="AB6" i="40"/>
  <c r="AA6" i="40"/>
  <c r="CN6" i="40" s="1"/>
  <c r="Z6" i="40"/>
  <c r="Y6" i="40"/>
  <c r="X6" i="40"/>
  <c r="W6" i="40"/>
  <c r="CQ5" i="40"/>
  <c r="CP5" i="40"/>
  <c r="CL5" i="40"/>
  <c r="CI5" i="40"/>
  <c r="BT5" i="40"/>
  <c r="BR5" i="40"/>
  <c r="BQ5" i="40"/>
  <c r="BO5" i="40"/>
  <c r="BN5" i="40"/>
  <c r="BJ5" i="40"/>
  <c r="BI5" i="40"/>
  <c r="BG5" i="40"/>
  <c r="AR5" i="40"/>
  <c r="AG5" i="40"/>
  <c r="CT5" i="40" s="1"/>
  <c r="AF5" i="40"/>
  <c r="CS5" i="40" s="1"/>
  <c r="AE5" i="40"/>
  <c r="CR5" i="40" s="1"/>
  <c r="AB5" i="40"/>
  <c r="BM5" i="40" s="1"/>
  <c r="AA5" i="40"/>
  <c r="CN5" i="40" s="1"/>
  <c r="Z5" i="40"/>
  <c r="CM5" i="40" s="1"/>
  <c r="Y5" i="40"/>
  <c r="X5" i="40"/>
  <c r="CK5" i="40" s="1"/>
  <c r="W5" i="40"/>
  <c r="V5" i="40"/>
  <c r="CQ4" i="40"/>
  <c r="CP4" i="40"/>
  <c r="CL4" i="40"/>
  <c r="BT4" i="40"/>
  <c r="BO4" i="40"/>
  <c r="BN4" i="40"/>
  <c r="BM4" i="40"/>
  <c r="BK4" i="40"/>
  <c r="BJ4" i="40"/>
  <c r="AR4" i="40"/>
  <c r="AP4" i="40"/>
  <c r="AP189" i="40" s="1"/>
  <c r="AO4" i="40"/>
  <c r="AO189" i="40" s="1"/>
  <c r="AN4" i="40"/>
  <c r="AN189" i="40" s="1"/>
  <c r="AM4" i="40"/>
  <c r="AM189" i="40" s="1"/>
  <c r="AL4" i="40"/>
  <c r="AL189" i="40" s="1"/>
  <c r="AL191" i="40" s="1"/>
  <c r="AL193" i="40" s="1"/>
  <c r="AK4" i="40"/>
  <c r="AK189" i="40" s="1"/>
  <c r="AJ4" i="40"/>
  <c r="AJ189" i="40" s="1"/>
  <c r="AI4" i="40"/>
  <c r="AI189" i="40" s="1"/>
  <c r="AG4" i="40"/>
  <c r="AF4" i="40"/>
  <c r="CS4" i="40" s="1"/>
  <c r="AE4" i="40"/>
  <c r="AB4" i="40"/>
  <c r="AA4" i="40"/>
  <c r="Z4" i="40"/>
  <c r="Z189" i="40" s="1"/>
  <c r="Y4" i="40"/>
  <c r="X4" i="40"/>
  <c r="W4" i="40"/>
  <c r="W10" i="40" s="1"/>
  <c r="V4" i="40"/>
  <c r="V10" i="40" s="1"/>
  <c r="BB3" i="40"/>
  <c r="BP3" i="40" s="1"/>
  <c r="CD3" i="40" s="1"/>
  <c r="CR3" i="40" s="1"/>
  <c r="V102" i="29"/>
  <c r="Z100" i="29"/>
  <c r="Z98" i="29"/>
  <c r="Z97" i="29"/>
  <c r="AV96" i="29"/>
  <c r="Z96" i="29"/>
  <c r="Z94" i="29"/>
  <c r="AP93" i="29"/>
  <c r="AP91" i="29"/>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s="1"/>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s="1"/>
  <c r="AH79" i="29"/>
  <c r="AG79" i="29"/>
  <c r="AF79" i="29"/>
  <c r="AE79" i="29"/>
  <c r="AD79" i="29"/>
  <c r="AB79" i="29"/>
  <c r="AA79" i="29"/>
  <c r="O79" i="29"/>
  <c r="BG78" i="29"/>
  <c r="BE78" i="29"/>
  <c r="BD78" i="29"/>
  <c r="BC78" i="29"/>
  <c r="AO78" i="29"/>
  <c r="AK78" i="29"/>
  <c r="AJ78" i="29"/>
  <c r="AI78" i="29"/>
  <c r="AH78" i="29"/>
  <c r="AG78" i="29"/>
  <c r="AF78" i="29"/>
  <c r="AE78" i="29"/>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s="1"/>
  <c r="AB75" i="29"/>
  <c r="AA75" i="29"/>
  <c r="Q74" i="29"/>
  <c r="BM72" i="29"/>
  <c r="BK72" i="29"/>
  <c r="BK74" i="29" s="1"/>
  <c r="BK76" i="29" s="1"/>
  <c r="BJ72" i="29"/>
  <c r="BI72" i="29"/>
  <c r="BF72" i="29"/>
  <c r="AY72" i="29"/>
  <c r="AW72" i="29"/>
  <c r="AS72" i="29"/>
  <c r="AS75" i="29" s="1"/>
  <c r="AQ72" i="29"/>
  <c r="AJ72" i="29"/>
  <c r="AH72" i="29"/>
  <c r="AG72" i="29"/>
  <c r="AF72" i="29"/>
  <c r="AE72" i="29"/>
  <c r="AD72" i="29"/>
  <c r="AC72" i="29"/>
  <c r="AC74" i="29" s="1"/>
  <c r="AB72" i="29"/>
  <c r="AA72" i="29"/>
  <c r="V72" i="29"/>
  <c r="U72" i="29"/>
  <c r="T72" i="29"/>
  <c r="S72" i="29"/>
  <c r="S74" i="29" s="1"/>
  <c r="R72" i="29"/>
  <c r="Q72" i="29"/>
  <c r="BE71" i="29"/>
  <c r="BD71" i="29"/>
  <c r="BD72" i="29" s="1"/>
  <c r="BD74" i="29" s="1"/>
  <c r="BC71" i="29"/>
  <c r="BC79" i="29" s="1"/>
  <c r="BA71" i="29"/>
  <c r="AP71" i="29"/>
  <c r="AR71" i="29" s="1"/>
  <c r="AO71" i="29"/>
  <c r="AL71" i="29"/>
  <c r="X71" i="29"/>
  <c r="AT71" i="29" s="1"/>
  <c r="AU71" i="29" s="1"/>
  <c r="V71" i="29"/>
  <c r="BG70" i="29"/>
  <c r="R62" i="44" s="1"/>
  <c r="R59" i="44" s="1"/>
  <c r="R56" i="44" s="1"/>
  <c r="AZ70" i="29"/>
  <c r="K62" i="44" s="1"/>
  <c r="AR70" i="29"/>
  <c r="AO70" i="29"/>
  <c r="AN70" i="29"/>
  <c r="AL70" i="29"/>
  <c r="V70" i="29"/>
  <c r="BL69" i="29"/>
  <c r="AU69" i="29"/>
  <c r="AR69" i="29"/>
  <c r="AT69" i="29" s="1"/>
  <c r="AO69" i="29"/>
  <c r="AN69" i="29"/>
  <c r="AL69" i="29"/>
  <c r="V69" i="29"/>
  <c r="BB68" i="29"/>
  <c r="BL68" i="29" s="1"/>
  <c r="AT68" i="29"/>
  <c r="AU68" i="29" s="1"/>
  <c r="AR68" i="29"/>
  <c r="G61" i="44" s="1"/>
  <c r="AO68" i="29"/>
  <c r="AN68" i="29"/>
  <c r="AL68" i="29"/>
  <c r="AL79" i="29" s="1"/>
  <c r="AC68" i="29"/>
  <c r="V68" i="29"/>
  <c r="R68" i="29"/>
  <c r="BL67" i="29"/>
  <c r="AU67" i="29"/>
  <c r="AT67" i="29"/>
  <c r="AO67" i="29"/>
  <c r="AN67" i="29"/>
  <c r="AL67" i="29"/>
  <c r="AL72" i="29" s="1"/>
  <c r="V67" i="29"/>
  <c r="BH66" i="29"/>
  <c r="BL66" i="29" s="1"/>
  <c r="AU66" i="29"/>
  <c r="AT66" i="29"/>
  <c r="AP66" i="29"/>
  <c r="AR66" i="29" s="1"/>
  <c r="AO66" i="29"/>
  <c r="AN66" i="29"/>
  <c r="AL66" i="29"/>
  <c r="V66" i="29"/>
  <c r="BM64" i="29"/>
  <c r="BK64" i="29"/>
  <c r="BI64" i="29"/>
  <c r="BH64" i="29"/>
  <c r="BG64" i="29"/>
  <c r="BF64" i="29"/>
  <c r="BE64" i="29"/>
  <c r="BD64" i="29"/>
  <c r="BC64" i="29"/>
  <c r="BB64" i="29"/>
  <c r="BA64" i="29"/>
  <c r="AY64" i="29"/>
  <c r="AW64" i="29"/>
  <c r="AS64" i="29"/>
  <c r="AQ64" i="29"/>
  <c r="AQ75" i="29" s="1"/>
  <c r="AQ78" i="29" s="1"/>
  <c r="AH64" i="29"/>
  <c r="AG64" i="29"/>
  <c r="AF64" i="29"/>
  <c r="AE64" i="29"/>
  <c r="AD64" i="29"/>
  <c r="AC64" i="29"/>
  <c r="AB64" i="29"/>
  <c r="U64" i="29"/>
  <c r="T64" i="29"/>
  <c r="S64" i="29"/>
  <c r="Q64" i="29"/>
  <c r="BL63" i="29"/>
  <c r="BJ63" i="29"/>
  <c r="AR63" i="29"/>
  <c r="AO63" i="29"/>
  <c r="X63" i="29"/>
  <c r="R63" i="29"/>
  <c r="BL62" i="29"/>
  <c r="AR62" i="29"/>
  <c r="AT62" i="29" s="1"/>
  <c r="AU62" i="29" s="1"/>
  <c r="AO62" i="29"/>
  <c r="AN62" i="29"/>
  <c r="AJ62" i="29"/>
  <c r="AL62" i="29" s="1"/>
  <c r="V62" i="29"/>
  <c r="BL61" i="29"/>
  <c r="BJ61" i="29"/>
  <c r="AR61" i="29"/>
  <c r="AT61" i="29" s="1"/>
  <c r="AU61" i="29" s="1"/>
  <c r="AO61" i="29"/>
  <c r="AN61" i="29"/>
  <c r="AJ61" i="29"/>
  <c r="U54" i="44" s="1"/>
  <c r="V61" i="29"/>
  <c r="BL60" i="29"/>
  <c r="AT60" i="29"/>
  <c r="AU60" i="29" s="1"/>
  <c r="AR60" i="29"/>
  <c r="AO60" i="29"/>
  <c r="AN60" i="29"/>
  <c r="AL60" i="29"/>
  <c r="AJ60" i="29"/>
  <c r="V60" i="29"/>
  <c r="BJ59" i="29"/>
  <c r="BL59" i="29" s="1"/>
  <c r="AT59" i="29"/>
  <c r="AU59" i="29" s="1"/>
  <c r="AP59" i="29"/>
  <c r="AO59" i="29"/>
  <c r="AN59" i="29"/>
  <c r="AL59" i="29"/>
  <c r="AJ59" i="29"/>
  <c r="V59" i="29"/>
  <c r="BJ58" i="29"/>
  <c r="BL58" i="29" s="1"/>
  <c r="AU58" i="29"/>
  <c r="AT58" i="29"/>
  <c r="AO58" i="29"/>
  <c r="AN58" i="29"/>
  <c r="AP58" i="29" s="1"/>
  <c r="AL58" i="29"/>
  <c r="AJ58" i="29"/>
  <c r="V58" i="29"/>
  <c r="BL57" i="29"/>
  <c r="BJ57" i="29"/>
  <c r="AT57" i="29"/>
  <c r="AU57" i="29" s="1"/>
  <c r="AP57" i="29"/>
  <c r="AO57" i="29"/>
  <c r="AN57" i="29"/>
  <c r="AJ57" i="29"/>
  <c r="AL57" i="29" s="1"/>
  <c r="V57" i="29"/>
  <c r="BJ56" i="29"/>
  <c r="BL56" i="29" s="1"/>
  <c r="AT56" i="29"/>
  <c r="AU56" i="29" s="1"/>
  <c r="AR56" i="29"/>
  <c r="AO56" i="29"/>
  <c r="AN56" i="29"/>
  <c r="AL56" i="29"/>
  <c r="AJ56" i="29"/>
  <c r="V56" i="29"/>
  <c r="BJ55" i="29"/>
  <c r="BJ64" i="29" s="1"/>
  <c r="AT55" i="29"/>
  <c r="AU55" i="29" s="1"/>
  <c r="AP55" i="29"/>
  <c r="AO55" i="29"/>
  <c r="AN55" i="29"/>
  <c r="AL55" i="29"/>
  <c r="AJ55" i="29"/>
  <c r="V55" i="29"/>
  <c r="BH54" i="29"/>
  <c r="AU54" i="29"/>
  <c r="AT54" i="29"/>
  <c r="AR54" i="29"/>
  <c r="AO54" i="29"/>
  <c r="AN54" i="29"/>
  <c r="AL54" i="29"/>
  <c r="V54" i="29"/>
  <c r="AZ53" i="29"/>
  <c r="AZ64" i="29" s="1"/>
  <c r="AU53" i="29"/>
  <c r="AO53" i="29"/>
  <c r="AN53" i="29"/>
  <c r="AP53" i="29" s="1"/>
  <c r="AP64" i="29" s="1"/>
  <c r="AA53" i="29"/>
  <c r="AA64" i="29" s="1"/>
  <c r="X53" i="29"/>
  <c r="AT53" i="29" s="1"/>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s="1"/>
  <c r="AC51" i="29"/>
  <c r="AB51" i="29"/>
  <c r="AA51" i="29"/>
  <c r="X51" i="29"/>
  <c r="V51" i="29"/>
  <c r="U51" i="29"/>
  <c r="T51" i="29"/>
  <c r="S51" i="29"/>
  <c r="R51" i="29"/>
  <c r="Q51" i="29"/>
  <c r="BL50" i="29"/>
  <c r="AU50" i="29"/>
  <c r="AT50" i="29"/>
  <c r="AO50" i="29"/>
  <c r="AN50" i="29"/>
  <c r="AP50" i="29" s="1"/>
  <c r="AP51" i="29" s="1"/>
  <c r="AL50" i="29"/>
  <c r="V50" i="29"/>
  <c r="BH49" i="29"/>
  <c r="AU49" i="29"/>
  <c r="AT49" i="29"/>
  <c r="AR49" i="29"/>
  <c r="AO49" i="29"/>
  <c r="AN49" i="29"/>
  <c r="AL49" i="29"/>
  <c r="V49" i="29"/>
  <c r="BL48" i="29"/>
  <c r="AU48" i="29"/>
  <c r="AU51" i="29" s="1"/>
  <c r="AT48" i="29"/>
  <c r="AR48" i="29"/>
  <c r="G45" i="44" s="1"/>
  <c r="AO48" i="29"/>
  <c r="AN48" i="29"/>
  <c r="AN51" i="29" s="1"/>
  <c r="AL48" i="29"/>
  <c r="AL51" i="29" s="1"/>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s="1"/>
  <c r="V41" i="44" s="1"/>
  <c r="AO45" i="29"/>
  <c r="AN45" i="29"/>
  <c r="AL45" i="29"/>
  <c r="V45" i="29"/>
  <c r="BH44" i="29"/>
  <c r="BH79" i="29" s="1"/>
  <c r="AU44" i="29"/>
  <c r="AT44" i="29"/>
  <c r="AP44" i="29"/>
  <c r="AR44" i="29" s="1"/>
  <c r="AO44" i="29"/>
  <c r="AN44" i="29"/>
  <c r="AL44" i="29"/>
  <c r="X44" i="29"/>
  <c r="V44" i="29"/>
  <c r="BL43" i="29"/>
  <c r="BA43" i="29"/>
  <c r="L39" i="44" s="1"/>
  <c r="AO43" i="29"/>
  <c r="AL43" i="29"/>
  <c r="X43" i="29"/>
  <c r="X94" i="29" s="1"/>
  <c r="V43" i="29"/>
  <c r="BH42" i="29"/>
  <c r="BF42" i="29"/>
  <c r="BB42" i="29"/>
  <c r="BB46" i="29" s="1"/>
  <c r="BA42" i="29"/>
  <c r="BA78" i="29" s="1"/>
  <c r="BA85" i="29" s="1"/>
  <c r="AT42" i="29"/>
  <c r="AP78" i="29" s="1"/>
  <c r="AO42" i="29"/>
  <c r="AB42" i="29"/>
  <c r="AB78" i="29" s="1"/>
  <c r="AB85" i="29" s="1"/>
  <c r="X42" i="29"/>
  <c r="X91" i="29" s="1"/>
  <c r="V42" i="29"/>
  <c r="BL41" i="29"/>
  <c r="AU41" i="29"/>
  <c r="AT41" i="29"/>
  <c r="AO41" i="29"/>
  <c r="AN41" i="29"/>
  <c r="AL41" i="29"/>
  <c r="V41" i="29"/>
  <c r="V46" i="29" s="1"/>
  <c r="BH40" i="29"/>
  <c r="AU40" i="29"/>
  <c r="AT40" i="29"/>
  <c r="AR40" i="29"/>
  <c r="AR46" i="29" s="1"/>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N37" i="29"/>
  <c r="AM37" i="29"/>
  <c r="AL37" i="29"/>
  <c r="AH37" i="29"/>
  <c r="R32" i="44" s="1"/>
  <c r="W32" i="44" s="1"/>
  <c r="V37" i="29"/>
  <c r="BL36" i="29"/>
  <c r="AU36" i="29"/>
  <c r="AT36" i="29"/>
  <c r="AO36" i="29"/>
  <c r="AN36" i="29"/>
  <c r="AM36" i="29"/>
  <c r="AH36" i="29"/>
  <c r="R31" i="44" s="1"/>
  <c r="R30" i="44" s="1"/>
  <c r="V36" i="29"/>
  <c r="BL35" i="29"/>
  <c r="AT35" i="29"/>
  <c r="AU35" i="29" s="1"/>
  <c r="AO35" i="29"/>
  <c r="AN35" i="29"/>
  <c r="AM35" i="29"/>
  <c r="AH35" i="29"/>
  <c r="R29" i="44" s="1"/>
  <c r="V35" i="29"/>
  <c r="BL34" i="29"/>
  <c r="AT34" i="29"/>
  <c r="AU34" i="29" s="1"/>
  <c r="AO34" i="29"/>
  <c r="AN34" i="29"/>
  <c r="AM34" i="29"/>
  <c r="AL34" i="29"/>
  <c r="AH34" i="29"/>
  <c r="R28" i="44" s="1"/>
  <c r="V34" i="29"/>
  <c r="BL33" i="29"/>
  <c r="AU33" i="29"/>
  <c r="AT33" i="29"/>
  <c r="AO33" i="29"/>
  <c r="AN33" i="29"/>
  <c r="AM33" i="29"/>
  <c r="AL33" i="29"/>
  <c r="AH33" i="29"/>
  <c r="R27" i="44" s="1"/>
  <c r="V33" i="29"/>
  <c r="BM32" i="29"/>
  <c r="BM38" i="29" s="1"/>
  <c r="BM75" i="29" s="1"/>
  <c r="BF32" i="29"/>
  <c r="AY32" i="29"/>
  <c r="AY38" i="29" s="1"/>
  <c r="AO32" i="29"/>
  <c r="AL32" i="29"/>
  <c r="X32" i="29"/>
  <c r="AN32" i="29" s="1"/>
  <c r="V32" i="29"/>
  <c r="BF31" i="29"/>
  <c r="BA31" i="29"/>
  <c r="BL31" i="29" s="1"/>
  <c r="AR31" i="29"/>
  <c r="AO31" i="29"/>
  <c r="AG31" i="29"/>
  <c r="AG38" i="29" s="1"/>
  <c r="V31" i="29"/>
  <c r="BA30" i="29"/>
  <c r="BL30" i="29" s="1"/>
  <c r="AR30" i="29"/>
  <c r="AT30" i="29" s="1"/>
  <c r="AU30" i="29" s="1"/>
  <c r="AO30" i="29"/>
  <c r="AN30" i="29"/>
  <c r="AM30" i="29"/>
  <c r="AH30" i="29"/>
  <c r="AL30" i="29" s="1"/>
  <c r="V30" i="29"/>
  <c r="BA29" i="29"/>
  <c r="BL29" i="29" s="1"/>
  <c r="AU29" i="29"/>
  <c r="AT29" i="29"/>
  <c r="AR29" i="29"/>
  <c r="AO29" i="29"/>
  <c r="AN29" i="29"/>
  <c r="AM29" i="29"/>
  <c r="AH29" i="29"/>
  <c r="AL29" i="29" s="1"/>
  <c r="V29" i="29"/>
  <c r="BL28" i="29"/>
  <c r="BA28" i="29"/>
  <c r="AT28" i="29"/>
  <c r="AU28" i="29" s="1"/>
  <c r="AR28" i="29"/>
  <c r="AO28" i="29"/>
  <c r="AN28" i="29"/>
  <c r="AM28" i="29"/>
  <c r="AL28" i="29"/>
  <c r="AH28" i="29"/>
  <c r="V28" i="29"/>
  <c r="BL27" i="29"/>
  <c r="BA27" i="29"/>
  <c r="AR27" i="29"/>
  <c r="AT27" i="29" s="1"/>
  <c r="AU27" i="29" s="1"/>
  <c r="AO27" i="29"/>
  <c r="AN27" i="29"/>
  <c r="AM27" i="29"/>
  <c r="AL27" i="29"/>
  <c r="AH27" i="29"/>
  <c r="V27" i="29"/>
  <c r="BL26" i="29"/>
  <c r="AU26" i="29"/>
  <c r="AT26" i="29"/>
  <c r="AO26" i="29"/>
  <c r="AN26" i="29"/>
  <c r="AM26" i="29"/>
  <c r="AL26" i="29"/>
  <c r="AH26" i="29"/>
  <c r="V26" i="29"/>
  <c r="BL25" i="29"/>
  <c r="AO25" i="29"/>
  <c r="AN25" i="29"/>
  <c r="X25" i="29"/>
  <c r="AT25" i="29" s="1"/>
  <c r="AU25" i="29" s="1"/>
  <c r="V25" i="29"/>
  <c r="T25" i="29"/>
  <c r="S25" i="29"/>
  <c r="Z95" i="29" s="1"/>
  <c r="BL24" i="29"/>
  <c r="AR24" i="29"/>
  <c r="AR92" i="29" s="1"/>
  <c r="AO24" i="29"/>
  <c r="AN24" i="29"/>
  <c r="X24" i="29"/>
  <c r="X95" i="29" s="1"/>
  <c r="V24" i="29"/>
  <c r="BL23" i="29"/>
  <c r="AR23" i="29"/>
  <c r="G20" i="44" s="1"/>
  <c r="AO23" i="29"/>
  <c r="AN23" i="29"/>
  <c r="AH23" i="29"/>
  <c r="R20" i="44" s="1"/>
  <c r="R71" i="44" s="1"/>
  <c r="V23" i="29"/>
  <c r="BL22" i="29"/>
  <c r="AT22" i="29"/>
  <c r="AU22" i="29" s="1"/>
  <c r="AR22" i="29"/>
  <c r="AO22" i="29"/>
  <c r="AN22" i="29"/>
  <c r="AL22" i="29"/>
  <c r="V22" i="29"/>
  <c r="BL21" i="29"/>
  <c r="AT21" i="29"/>
  <c r="AU21" i="29" s="1"/>
  <c r="AR21" i="29"/>
  <c r="AO21" i="29"/>
  <c r="AN21" i="29"/>
  <c r="AL21" i="29"/>
  <c r="AH21" i="29"/>
  <c r="V21" i="29"/>
  <c r="BL20" i="29"/>
  <c r="AU20" i="29"/>
  <c r="AT20" i="29"/>
  <c r="AO20" i="29"/>
  <c r="AN20" i="29"/>
  <c r="AL20" i="29"/>
  <c r="AH20" i="29"/>
  <c r="R19" i="44" s="1"/>
  <c r="V20" i="29"/>
  <c r="BL19" i="29"/>
  <c r="AU19" i="29"/>
  <c r="AT19" i="29"/>
  <c r="AR19" i="29"/>
  <c r="AO19" i="29"/>
  <c r="AN19" i="29"/>
  <c r="AL19" i="29"/>
  <c r="AH19" i="29"/>
  <c r="R18" i="44" s="1"/>
  <c r="V19" i="29"/>
  <c r="BL18" i="29"/>
  <c r="AR18" i="29"/>
  <c r="AT18" i="29" s="1"/>
  <c r="AU18" i="29" s="1"/>
  <c r="AO18" i="29"/>
  <c r="AN18" i="29"/>
  <c r="AH18" i="29"/>
  <c r="R16" i="44" s="1"/>
  <c r="V18" i="29"/>
  <c r="BL17" i="29"/>
  <c r="AZ17" i="29"/>
  <c r="K15" i="44" s="1"/>
  <c r="AT17" i="29"/>
  <c r="AU17" i="29" s="1"/>
  <c r="AR17" i="29"/>
  <c r="AO17" i="29"/>
  <c r="AN17" i="29"/>
  <c r="AL17" i="29"/>
  <c r="AH17" i="29"/>
  <c r="R15" i="44" s="1"/>
  <c r="V17" i="29"/>
  <c r="BL16" i="29"/>
  <c r="AR16" i="29"/>
  <c r="AO16" i="29"/>
  <c r="AN16" i="29"/>
  <c r="X16" i="29"/>
  <c r="AT16" i="29" s="1"/>
  <c r="AU16" i="29" s="1"/>
  <c r="V16" i="29"/>
  <c r="V38" i="29" s="1"/>
  <c r="BL15" i="29"/>
  <c r="AR15" i="29"/>
  <c r="AO15" i="29"/>
  <c r="AH15" i="29"/>
  <c r="X15" i="29"/>
  <c r="AN15" i="29" s="1"/>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s="1"/>
  <c r="V12" i="29"/>
  <c r="BL11" i="29"/>
  <c r="AR11" i="29"/>
  <c r="AT11" i="29" s="1"/>
  <c r="AU11" i="29" s="1"/>
  <c r="AO11" i="29"/>
  <c r="AN11" i="29"/>
  <c r="AL11" i="29"/>
  <c r="V11" i="29"/>
  <c r="BL10" i="29"/>
  <c r="AR10" i="29"/>
  <c r="AO10" i="29"/>
  <c r="AL10" i="29"/>
  <c r="X10" i="29"/>
  <c r="AN10" i="29" s="1"/>
  <c r="V10" i="29"/>
  <c r="BL9" i="29"/>
  <c r="AR9" i="29"/>
  <c r="AT9" i="29" s="1"/>
  <c r="AU9" i="29" s="1"/>
  <c r="AO9" i="29"/>
  <c r="AN9" i="29"/>
  <c r="AL9" i="29"/>
  <c r="V9" i="29"/>
  <c r="AT8" i="29"/>
  <c r="AR8" i="29"/>
  <c r="AR95" i="29" s="1"/>
  <c r="AO8" i="29"/>
  <c r="AN8" i="29"/>
  <c r="AL8" i="29"/>
  <c r="AL84" i="29" s="1"/>
  <c r="AH8" i="29"/>
  <c r="X8" i="29"/>
  <c r="V8" i="29"/>
  <c r="V13" i="29" s="1"/>
  <c r="BM6" i="29"/>
  <c r="BK6" i="29"/>
  <c r="BJ6" i="29"/>
  <c r="BI6" i="29"/>
  <c r="BH6" i="29"/>
  <c r="BG6" i="29"/>
  <c r="BF6" i="29"/>
  <c r="BE6" i="29"/>
  <c r="BD6" i="29"/>
  <c r="BC6" i="29"/>
  <c r="BB6" i="29"/>
  <c r="BA6" i="29"/>
  <c r="AZ6" i="29"/>
  <c r="AY6" i="29"/>
  <c r="AW6" i="29"/>
  <c r="AS6" i="29"/>
  <c r="AQ6" i="29"/>
  <c r="AP6" i="29"/>
  <c r="AJ6" i="29"/>
  <c r="AG6" i="29"/>
  <c r="AF6" i="29"/>
  <c r="AF74" i="29" s="1"/>
  <c r="AE6" i="29"/>
  <c r="AD6" i="29"/>
  <c r="AC6" i="29"/>
  <c r="AB6" i="29"/>
  <c r="AA6" i="29"/>
  <c r="X6" i="29"/>
  <c r="T6" i="29"/>
  <c r="S6" i="29"/>
  <c r="R6" i="29"/>
  <c r="Q6" i="29"/>
  <c r="U3" i="29" s="1"/>
  <c r="U6" i="29" s="1"/>
  <c r="BL5" i="29"/>
  <c r="AR5" i="29"/>
  <c r="AT5" i="29" s="1"/>
  <c r="AU5" i="29" s="1"/>
  <c r="AO5" i="29"/>
  <c r="AN5" i="29"/>
  <c r="AH5" i="29"/>
  <c r="R7" i="44" s="1"/>
  <c r="V5" i="29"/>
  <c r="BL4" i="29"/>
  <c r="AR4" i="29"/>
  <c r="AT4" i="29" s="1"/>
  <c r="AU4" i="29" s="1"/>
  <c r="AN4" i="29"/>
  <c r="AL4" i="29"/>
  <c r="V4" i="29"/>
  <c r="BL3" i="29"/>
  <c r="BL6" i="29" s="1"/>
  <c r="AR3" i="29"/>
  <c r="AR6" i="29" s="1"/>
  <c r="AO3" i="29"/>
  <c r="AN3" i="29"/>
  <c r="AN6" i="29" s="1"/>
  <c r="AH3" i="29"/>
  <c r="AL3" i="29" s="1"/>
  <c r="V3" i="29"/>
  <c r="V6" i="29" s="1"/>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F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F49" i="33" s="1"/>
  <c r="G49" i="33" s="1"/>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s="1"/>
  <c r="F46" i="36" s="1"/>
  <c r="Y45" i="33"/>
  <c r="X45" i="33"/>
  <c r="W45" i="33"/>
  <c r="V45" i="33"/>
  <c r="U45" i="33"/>
  <c r="T45" i="33"/>
  <c r="S45" i="33"/>
  <c r="R45" i="33"/>
  <c r="Q45" i="33"/>
  <c r="P45" i="33"/>
  <c r="O45" i="33"/>
  <c r="N45" i="33"/>
  <c r="C45" i="33"/>
  <c r="F45" i="33" s="1"/>
  <c r="J45" i="33" s="1"/>
  <c r="M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F39" i="33" s="1"/>
  <c r="J39" i="33" s="1"/>
  <c r="M39" i="33" s="1"/>
  <c r="Y38" i="33"/>
  <c r="X38" i="33"/>
  <c r="W38" i="33"/>
  <c r="V38" i="33"/>
  <c r="U38" i="33"/>
  <c r="T38" i="33"/>
  <c r="S38" i="33"/>
  <c r="R38" i="33"/>
  <c r="Q38" i="33"/>
  <c r="P38" i="33"/>
  <c r="O38" i="33"/>
  <c r="N38" i="33"/>
  <c r="C38" i="33"/>
  <c r="C38" i="36" s="1"/>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C35" i="36" s="1"/>
  <c r="F35" i="36" s="1"/>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Y28" i="33"/>
  <c r="X28" i="33"/>
  <c r="W28" i="33"/>
  <c r="V28" i="33"/>
  <c r="U28" i="33"/>
  <c r="T28" i="33"/>
  <c r="S28" i="33"/>
  <c r="R28" i="33"/>
  <c r="Q28" i="33"/>
  <c r="P28" i="33"/>
  <c r="O28" i="33"/>
  <c r="N28" i="33"/>
  <c r="C28" i="33"/>
  <c r="C28" i="36" s="1"/>
  <c r="F28" i="36"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F24" i="36" s="1"/>
  <c r="Y23" i="33"/>
  <c r="X23" i="33"/>
  <c r="W23" i="33"/>
  <c r="V23" i="33"/>
  <c r="U23" i="33"/>
  <c r="T23" i="33"/>
  <c r="S23" i="33"/>
  <c r="R23" i="33"/>
  <c r="Q23" i="33"/>
  <c r="P23" i="33"/>
  <c r="O23" i="33"/>
  <c r="N23" i="33"/>
  <c r="I23" i="33"/>
  <c r="C23" i="33"/>
  <c r="C23" i="36" s="1"/>
  <c r="F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C21" i="36" s="1"/>
  <c r="F21" i="36" s="1"/>
  <c r="Y20" i="33"/>
  <c r="X20" i="33"/>
  <c r="W20" i="33"/>
  <c r="V20" i="33"/>
  <c r="U20" i="33"/>
  <c r="T20" i="33"/>
  <c r="S20" i="33"/>
  <c r="R20" i="33"/>
  <c r="Q20" i="33"/>
  <c r="P20" i="33"/>
  <c r="O20" i="33"/>
  <c r="N20" i="33"/>
  <c r="C20" i="33"/>
  <c r="F20" i="33" s="1"/>
  <c r="Y19" i="33"/>
  <c r="X19" i="33"/>
  <c r="W19" i="33"/>
  <c r="V19" i="33"/>
  <c r="U19" i="33"/>
  <c r="T19" i="33"/>
  <c r="S19" i="33"/>
  <c r="R19" i="33"/>
  <c r="Q19" i="33"/>
  <c r="P19" i="33"/>
  <c r="O19" i="33"/>
  <c r="N19" i="33"/>
  <c r="C19" i="33"/>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s="1"/>
  <c r="F16" i="36" s="1"/>
  <c r="Y15" i="33"/>
  <c r="X15" i="33"/>
  <c r="W15" i="33"/>
  <c r="V15" i="33"/>
  <c r="U15" i="33"/>
  <c r="T15" i="33"/>
  <c r="S15" i="33"/>
  <c r="R15" i="33"/>
  <c r="Q15" i="33"/>
  <c r="P15" i="33"/>
  <c r="O15" i="33"/>
  <c r="N15" i="33"/>
  <c r="C15" i="33"/>
  <c r="C15" i="36" s="1"/>
  <c r="F15" i="36" s="1"/>
  <c r="Y14" i="33"/>
  <c r="X14" i="33"/>
  <c r="W14" i="33"/>
  <c r="V14" i="33"/>
  <c r="U14" i="33"/>
  <c r="T14" i="33"/>
  <c r="S14" i="33"/>
  <c r="R14" i="33"/>
  <c r="Q14" i="33"/>
  <c r="P14" i="33"/>
  <c r="O14" i="33"/>
  <c r="N14" i="33"/>
  <c r="C14" i="33"/>
  <c r="C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F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F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l="1"/>
  <c r="BF15" i="40"/>
  <c r="BK86" i="40"/>
  <c r="CH43" i="40"/>
  <c r="AI186" i="40"/>
  <c r="CH103" i="40"/>
  <c r="CH122" i="40"/>
  <c r="CQ10" i="40"/>
  <c r="CO5" i="40"/>
  <c r="CH5" i="40" s="1"/>
  <c r="U7" i="40"/>
  <c r="BI7" i="40"/>
  <c r="CK7" i="40"/>
  <c r="CI185" i="40"/>
  <c r="CH185" i="40" s="1"/>
  <c r="BF94" i="40"/>
  <c r="BS122" i="40"/>
  <c r="CG122" i="40" s="1"/>
  <c r="AQ122" i="40"/>
  <c r="BE122" i="40" s="1"/>
  <c r="AB10" i="40"/>
  <c r="AE189" i="40"/>
  <c r="BS12" i="40"/>
  <c r="CG12" i="40" s="1"/>
  <c r="BP21" i="40"/>
  <c r="U81" i="40"/>
  <c r="CP81" i="40"/>
  <c r="CH81" i="40" s="1"/>
  <c r="BN81" i="40"/>
  <c r="X10" i="40"/>
  <c r="BL190" i="40"/>
  <c r="BL21" i="40"/>
  <c r="BF12" i="40"/>
  <c r="CR86" i="40"/>
  <c r="BF54" i="40"/>
  <c r="BF71" i="40"/>
  <c r="AC188" i="40"/>
  <c r="AC86" i="40"/>
  <c r="AC183" i="40" s="1"/>
  <c r="CP72" i="40"/>
  <c r="BN72" i="40"/>
  <c r="BF72" i="40" s="1"/>
  <c r="BP146" i="40"/>
  <c r="CQ186" i="40"/>
  <c r="V189" i="40"/>
  <c r="U4" i="40"/>
  <c r="BG4" i="40"/>
  <c r="CI4" i="40"/>
  <c r="AF189" i="40"/>
  <c r="AF191" i="40" s="1"/>
  <c r="AF193" i="40" s="1"/>
  <c r="AF197" i="40" s="1"/>
  <c r="AF10" i="40"/>
  <c r="AF183" i="40" s="1"/>
  <c r="BQ4" i="40"/>
  <c r="BM186" i="40"/>
  <c r="S109" i="40"/>
  <c r="AQ109" i="40"/>
  <c r="BE109" i="40" s="1"/>
  <c r="BR146" i="40"/>
  <c r="AQ95" i="40"/>
  <c r="BE95" i="40" s="1"/>
  <c r="BJ6" i="40"/>
  <c r="BJ10" i="40" s="1"/>
  <c r="Y10" i="40"/>
  <c r="CL6" i="40"/>
  <c r="CL10" i="40" s="1"/>
  <c r="CM21" i="40"/>
  <c r="CP187" i="40"/>
  <c r="CN185" i="40"/>
  <c r="BF95" i="40"/>
  <c r="BS95" i="40"/>
  <c r="CG95" i="40" s="1"/>
  <c r="BS152" i="40"/>
  <c r="CG152" i="40" s="1"/>
  <c r="AQ152" i="40"/>
  <c r="BE152" i="40" s="1"/>
  <c r="U167" i="40"/>
  <c r="U168" i="40" s="1"/>
  <c r="S152" i="40"/>
  <c r="S187" i="40" s="1"/>
  <c r="CO181" i="40"/>
  <c r="BR86" i="40"/>
  <c r="AB188" i="40"/>
  <c r="U79" i="40"/>
  <c r="S79" i="40" s="1"/>
  <c r="AB86" i="40"/>
  <c r="CI186" i="40"/>
  <c r="CH96" i="40"/>
  <c r="BK192" i="40"/>
  <c r="BK167" i="40"/>
  <c r="BF77" i="40"/>
  <c r="CQ146" i="40"/>
  <c r="AO183" i="40"/>
  <c r="W19" i="44"/>
  <c r="BP8" i="40"/>
  <c r="CM86" i="40"/>
  <c r="CK86" i="40"/>
  <c r="CH34" i="40"/>
  <c r="CH39" i="40"/>
  <c r="BF60" i="40"/>
  <c r="BF104" i="40"/>
  <c r="BS130" i="40"/>
  <c r="CG130" i="40" s="1"/>
  <c r="AQ130" i="40"/>
  <c r="BE130" i="40" s="1"/>
  <c r="BX183" i="40"/>
  <c r="BX195" i="40" s="1"/>
  <c r="AQ171" i="40"/>
  <c r="BE171" i="40" s="1"/>
  <c r="S171" i="40"/>
  <c r="AC67" i="43"/>
  <c r="AA67" i="43"/>
  <c r="V42" i="44"/>
  <c r="I42" i="44"/>
  <c r="X189" i="40"/>
  <c r="BM189" i="40"/>
  <c r="BM10" i="40"/>
  <c r="U9" i="40"/>
  <c r="Z10" i="40"/>
  <c r="BQ21" i="40"/>
  <c r="S190" i="40"/>
  <c r="BS18" i="40"/>
  <c r="CG18" i="40" s="1"/>
  <c r="CL86" i="40"/>
  <c r="CH27" i="40"/>
  <c r="CH28" i="40"/>
  <c r="CH38" i="40"/>
  <c r="BF43" i="40"/>
  <c r="BS46" i="40"/>
  <c r="CG46" i="40" s="1"/>
  <c r="AQ52" i="40"/>
  <c r="BE52" i="40" s="1"/>
  <c r="AQ55" i="40"/>
  <c r="BE55" i="40" s="1"/>
  <c r="BF59" i="40"/>
  <c r="CJ187" i="40"/>
  <c r="CR187" i="40"/>
  <c r="CH64" i="40"/>
  <c r="BP188" i="40"/>
  <c r="CH83" i="40"/>
  <c r="BF85" i="40"/>
  <c r="CK146" i="40"/>
  <c r="CS146" i="40"/>
  <c r="CS185" i="40"/>
  <c r="BO186" i="40"/>
  <c r="BS98" i="40"/>
  <c r="CG98" i="40" s="1"/>
  <c r="AQ98" i="40"/>
  <c r="BE98" i="40" s="1"/>
  <c r="BS108" i="40"/>
  <c r="CG108" i="40" s="1"/>
  <c r="BS119" i="40"/>
  <c r="CG119" i="40" s="1"/>
  <c r="CR167" i="40"/>
  <c r="BI181" i="40"/>
  <c r="BF170" i="40"/>
  <c r="AP183" i="40"/>
  <c r="AM3" i="43"/>
  <c r="AM6" i="43" s="1"/>
  <c r="W6" i="43"/>
  <c r="AY3" i="43"/>
  <c r="AS3" i="43"/>
  <c r="AS6" i="43" s="1"/>
  <c r="Y189" i="40"/>
  <c r="CK4" i="40"/>
  <c r="U5" i="40"/>
  <c r="BK5" i="40"/>
  <c r="BK189" i="40" s="1"/>
  <c r="BP6" i="40"/>
  <c r="CR6" i="40"/>
  <c r="BF7" i="40"/>
  <c r="CM7" i="40"/>
  <c r="CH7" i="40" s="1"/>
  <c r="BH8" i="40"/>
  <c r="BN8" i="40" s="1"/>
  <c r="U8" i="40"/>
  <c r="S8" i="40" s="1"/>
  <c r="CS9" i="40"/>
  <c r="CS189" i="40" s="1"/>
  <c r="BF14" i="40"/>
  <c r="AI18" i="40"/>
  <c r="BJ86" i="40"/>
  <c r="BF27" i="40"/>
  <c r="BF34" i="40"/>
  <c r="CH48" i="40"/>
  <c r="BF51" i="40"/>
  <c r="CH53" i="40"/>
  <c r="BH187" i="40"/>
  <c r="BP187" i="40"/>
  <c r="AQ64" i="40"/>
  <c r="BE64" i="40" s="1"/>
  <c r="AQ66" i="40"/>
  <c r="BE66" i="40" s="1"/>
  <c r="CH70" i="40"/>
  <c r="BS77" i="40"/>
  <c r="CG77" i="40" s="1"/>
  <c r="BN82" i="40"/>
  <c r="BF82" i="40" s="1"/>
  <c r="BF90" i="40"/>
  <c r="BG185" i="40"/>
  <c r="BF91" i="40"/>
  <c r="BP185" i="40"/>
  <c r="S94" i="40"/>
  <c r="BG186" i="40"/>
  <c r="BP186" i="40"/>
  <c r="CH101" i="40"/>
  <c r="S107" i="40"/>
  <c r="BS129" i="40"/>
  <c r="CG129" i="40" s="1"/>
  <c r="BS138" i="40"/>
  <c r="CG138" i="40" s="1"/>
  <c r="AQ138" i="40"/>
  <c r="BE138" i="40" s="1"/>
  <c r="BS144" i="40"/>
  <c r="CG144" i="40" s="1"/>
  <c r="AW183" i="40"/>
  <c r="AW195" i="40" s="1"/>
  <c r="BS172" i="40"/>
  <c r="CG172" i="40" s="1"/>
  <c r="S172" i="40"/>
  <c r="CH172" i="40"/>
  <c r="P191" i="40"/>
  <c r="P193" i="40" s="1"/>
  <c r="BH21" i="40"/>
  <c r="BS13" i="40"/>
  <c r="CG13" i="40" s="1"/>
  <c r="BF83" i="40"/>
  <c r="BS94" i="40"/>
  <c r="CG94" i="40" s="1"/>
  <c r="BS107" i="40"/>
  <c r="CG107" i="40" s="1"/>
  <c r="BP167" i="40"/>
  <c r="CT167" i="40"/>
  <c r="AU73" i="43"/>
  <c r="AW67" i="43"/>
  <c r="AA189" i="40"/>
  <c r="AA10" i="40"/>
  <c r="CN4" i="40"/>
  <c r="BL4" i="40"/>
  <c r="CM4" i="40"/>
  <c r="CL190" i="40"/>
  <c r="CT190" i="40"/>
  <c r="BL86" i="40"/>
  <c r="AQ30" i="40"/>
  <c r="BE30" i="40" s="1"/>
  <c r="BF33" i="40"/>
  <c r="BF38" i="40"/>
  <c r="BS43" i="40"/>
  <c r="CG43" i="40" s="1"/>
  <c r="CH46" i="40"/>
  <c r="BF48" i="40"/>
  <c r="CH52" i="40"/>
  <c r="CH54" i="40"/>
  <c r="AQ62" i="40"/>
  <c r="BE62" i="40" s="1"/>
  <c r="BF64" i="40"/>
  <c r="CK188" i="40"/>
  <c r="CT188" i="40"/>
  <c r="CH77" i="40"/>
  <c r="BF81" i="40"/>
  <c r="AA146" i="40"/>
  <c r="CN94" i="40"/>
  <c r="CN146" i="40" s="1"/>
  <c r="BL94" i="40"/>
  <c r="BL146" i="40" s="1"/>
  <c r="CJ97" i="40"/>
  <c r="CH97" i="40" s="1"/>
  <c r="BH97" i="40"/>
  <c r="BF97" i="40" s="1"/>
  <c r="U97" i="40"/>
  <c r="BF101" i="40"/>
  <c r="BS106" i="40"/>
  <c r="CG106" i="40" s="1"/>
  <c r="BF110" i="40"/>
  <c r="CH129" i="40"/>
  <c r="CM167" i="40"/>
  <c r="G183" i="40"/>
  <c r="BF174" i="40"/>
  <c r="AK191" i="40"/>
  <c r="AK193" i="40" s="1"/>
  <c r="CJ5" i="40"/>
  <c r="BH5" i="40"/>
  <c r="CN86" i="40"/>
  <c r="CH33" i="40"/>
  <c r="BF53" i="40"/>
  <c r="CH58" i="40"/>
  <c r="BS100" i="40"/>
  <c r="CG100" i="40" s="1"/>
  <c r="AQ100" i="40"/>
  <c r="BE100" i="40" s="1"/>
  <c r="CH108" i="40"/>
  <c r="AS150" i="40"/>
  <c r="BH150" i="40"/>
  <c r="BH167" i="40"/>
  <c r="W15" i="44"/>
  <c r="AB189" i="40"/>
  <c r="CO4" i="40"/>
  <c r="CJ6" i="40"/>
  <c r="CP6" i="40" s="1"/>
  <c r="BH6" i="40"/>
  <c r="AR6" i="40" s="1"/>
  <c r="AR10" i="40" s="1"/>
  <c r="U6" i="40"/>
  <c r="S6" i="40" s="1"/>
  <c r="BJ190" i="40"/>
  <c r="BJ21" i="40"/>
  <c r="BR190" i="40"/>
  <c r="CM190" i="40"/>
  <c r="AQ15" i="40"/>
  <c r="BE15" i="40" s="1"/>
  <c r="BS34" i="40"/>
  <c r="CG34" i="40" s="1"/>
  <c r="BF39" i="40"/>
  <c r="CH41" i="40"/>
  <c r="BF46" i="40"/>
  <c r="CN187" i="40"/>
  <c r="CH63" i="40"/>
  <c r="CH65" i="40"/>
  <c r="V188" i="40"/>
  <c r="V191" i="40" s="1"/>
  <c r="V193" i="40" s="1"/>
  <c r="U72" i="40"/>
  <c r="V86" i="40"/>
  <c r="CL188" i="40"/>
  <c r="AQ74" i="40"/>
  <c r="BE74" i="40" s="1"/>
  <c r="AQ77" i="40"/>
  <c r="BE77" i="40" s="1"/>
  <c r="AC189" i="40"/>
  <c r="U84" i="40"/>
  <c r="CO146" i="40"/>
  <c r="S90" i="40"/>
  <c r="CO185" i="40"/>
  <c r="CO191" i="40" s="1"/>
  <c r="CO193" i="40" s="1"/>
  <c r="Y185" i="40"/>
  <c r="Y191" i="40" s="1"/>
  <c r="Y193" i="40" s="1"/>
  <c r="Y197" i="40" s="1"/>
  <c r="Y146" i="40"/>
  <c r="Y183" i="40" s="1"/>
  <c r="CL92" i="40"/>
  <c r="BJ92" i="40"/>
  <c r="BF92" i="40" s="1"/>
  <c r="CH94" i="40"/>
  <c r="CO186" i="40"/>
  <c r="CH99" i="40"/>
  <c r="BS105" i="40"/>
  <c r="CG105" i="40" s="1"/>
  <c r="AQ106" i="40"/>
  <c r="BE106" i="40" s="1"/>
  <c r="CH109" i="40"/>
  <c r="BF125" i="40"/>
  <c r="BF138" i="40"/>
  <c r="CS157" i="40"/>
  <c r="CH157" i="40" s="1"/>
  <c r="CI192" i="40"/>
  <c r="CQ192" i="40"/>
  <c r="BS162" i="40"/>
  <c r="CG162" i="40" s="1"/>
  <c r="CI167" i="40"/>
  <c r="BS171" i="40"/>
  <c r="CG171" i="40" s="1"/>
  <c r="BF172" i="40"/>
  <c r="AA183" i="40"/>
  <c r="AL183" i="40"/>
  <c r="CC183" i="40"/>
  <c r="CC195" i="40" s="1"/>
  <c r="AA185" i="40"/>
  <c r="AA191" i="40" s="1"/>
  <c r="AA193" i="40" s="1"/>
  <c r="AA197" i="40" s="1"/>
  <c r="BO189" i="40"/>
  <c r="BO10" i="40"/>
  <c r="AE10" i="40"/>
  <c r="BI4" i="40"/>
  <c r="CN8" i="40"/>
  <c r="BL8" i="40"/>
  <c r="CN9" i="40"/>
  <c r="CH9" i="40" s="1"/>
  <c r="BL9" i="40"/>
  <c r="AI10" i="40"/>
  <c r="AC190" i="40"/>
  <c r="U12" i="40"/>
  <c r="BK190" i="40"/>
  <c r="BK21" i="40"/>
  <c r="CN190" i="40"/>
  <c r="CN21" i="40"/>
  <c r="CP13" i="40"/>
  <c r="CH13" i="40" s="1"/>
  <c r="BN13" i="40"/>
  <c r="BF13" i="40" s="1"/>
  <c r="CH23" i="40"/>
  <c r="CQ86" i="40"/>
  <c r="AQ24" i="40"/>
  <c r="BE24" i="40" s="1"/>
  <c r="CH44" i="40"/>
  <c r="BF58" i="40"/>
  <c r="BL187" i="40"/>
  <c r="CO187" i="40"/>
  <c r="BF63" i="40"/>
  <c r="W188" i="40"/>
  <c r="W86" i="40"/>
  <c r="CJ72" i="40"/>
  <c r="CI72" i="40" s="1"/>
  <c r="CH72" i="40" s="1"/>
  <c r="CH76" i="40"/>
  <c r="BS82" i="40"/>
  <c r="CG82" i="40" s="1"/>
  <c r="AQ82" i="40"/>
  <c r="BE82" i="40" s="1"/>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s="1"/>
  <c r="CT181" i="40"/>
  <c r="CH179" i="40"/>
  <c r="AB183" i="40"/>
  <c r="W16" i="44"/>
  <c r="BH4" i="40"/>
  <c r="BP4" i="40"/>
  <c r="CJ4" i="40"/>
  <c r="CR4" i="40"/>
  <c r="BL5" i="40"/>
  <c r="BJ7" i="40"/>
  <c r="BR7" i="40"/>
  <c r="BH9" i="40"/>
  <c r="BF9" i="40" s="1"/>
  <c r="BP9" i="40"/>
  <c r="BM190" i="40"/>
  <c r="CO190" i="40"/>
  <c r="BG21" i="40"/>
  <c r="AQ20" i="40"/>
  <c r="BE20" i="40" s="1"/>
  <c r="AQ36" i="40"/>
  <c r="BE36" i="40" s="1"/>
  <c r="BO187" i="40"/>
  <c r="CQ187" i="40"/>
  <c r="AI188" i="40"/>
  <c r="BO188" i="40"/>
  <c r="CN188" i="40"/>
  <c r="Q189" i="40"/>
  <c r="Q191" i="40" s="1"/>
  <c r="Q193" i="40" s="1"/>
  <c r="Q183" i="40"/>
  <c r="CI88" i="40"/>
  <c r="CR146" i="40"/>
  <c r="BN185" i="40"/>
  <c r="CM100" i="40"/>
  <c r="CM186" i="40" s="1"/>
  <c r="BK100" i="40"/>
  <c r="BF100" i="40" s="1"/>
  <c r="CH107" i="40"/>
  <c r="CH112" i="40"/>
  <c r="BF114" i="40"/>
  <c r="BF124" i="40"/>
  <c r="BS126" i="40"/>
  <c r="CG126" i="40" s="1"/>
  <c r="AQ126" i="40"/>
  <c r="BE126" i="40" s="1"/>
  <c r="BF130" i="40"/>
  <c r="CH136" i="40"/>
  <c r="CH140" i="40"/>
  <c r="H183" i="40"/>
  <c r="CO167" i="40"/>
  <c r="CH155" i="40"/>
  <c r="BT155" i="40" s="1"/>
  <c r="BS155" i="40" s="1"/>
  <c r="CG155" i="40" s="1"/>
  <c r="CJ192" i="40"/>
  <c r="BW183" i="40"/>
  <c r="BW195" i="40" s="1"/>
  <c r="CH174" i="40"/>
  <c r="BF179" i="40"/>
  <c r="AJ191" i="40"/>
  <c r="AJ193" i="40" s="1"/>
  <c r="Z186" i="40"/>
  <c r="AW52" i="43"/>
  <c r="W189" i="40"/>
  <c r="AG189" i="40"/>
  <c r="AG191" i="40" s="1"/>
  <c r="AG193" i="40" s="1"/>
  <c r="AG197" i="40" s="1"/>
  <c r="BR4" i="40"/>
  <c r="CL189" i="40"/>
  <c r="CT4" i="40"/>
  <c r="BR9" i="40"/>
  <c r="AG10" i="40"/>
  <c r="AG183" i="40" s="1"/>
  <c r="BO190" i="40"/>
  <c r="CQ190" i="40"/>
  <c r="CQ21" i="40"/>
  <c r="CH31" i="40"/>
  <c r="U187" i="40"/>
  <c r="BI187" i="40"/>
  <c r="BQ187" i="40"/>
  <c r="CK187" i="40"/>
  <c r="CS187" i="40"/>
  <c r="BI188" i="40"/>
  <c r="BQ188" i="40"/>
  <c r="AX183" i="40"/>
  <c r="AX195" i="40" s="1"/>
  <c r="U88" i="40"/>
  <c r="CL146" i="40"/>
  <c r="CT146" i="40"/>
  <c r="U91" i="40"/>
  <c r="BH91" i="40"/>
  <c r="BH185" i="40" s="1"/>
  <c r="BH191" i="40" s="1"/>
  <c r="BH193" i="40" s="1"/>
  <c r="CJ91" i="40"/>
  <c r="CJ185" i="40" s="1"/>
  <c r="CJ191" i="40" s="1"/>
  <c r="CJ193" i="40" s="1"/>
  <c r="CR185" i="40"/>
  <c r="U93" i="40"/>
  <c r="BH95" i="40"/>
  <c r="U96" i="40"/>
  <c r="BH96" i="40"/>
  <c r="BF96" i="40" s="1"/>
  <c r="CR186" i="40"/>
  <c r="BF113" i="40"/>
  <c r="BS134" i="40"/>
  <c r="CG134" i="40" s="1"/>
  <c r="W146" i="40"/>
  <c r="W183" i="40" s="1"/>
  <c r="BM167" i="40"/>
  <c r="CQ167" i="40"/>
  <c r="CH153" i="40"/>
  <c r="CL192" i="40"/>
  <c r="X186" i="40"/>
  <c r="U170" i="40"/>
  <c r="CK170" i="40"/>
  <c r="X181" i="40"/>
  <c r="BJ181" i="40"/>
  <c r="BR181" i="40"/>
  <c r="BP181" i="40"/>
  <c r="CH42" i="40"/>
  <c r="BJ187" i="40"/>
  <c r="CL187" i="40"/>
  <c r="BJ188" i="40"/>
  <c r="BR188" i="40"/>
  <c r="BN146" i="40"/>
  <c r="CI89" i="40"/>
  <c r="CH89" i="40" s="1"/>
  <c r="CK185" i="40"/>
  <c r="CK191" i="40" s="1"/>
  <c r="CK193" i="40" s="1"/>
  <c r="Z191" i="40"/>
  <c r="Z193" i="40" s="1"/>
  <c r="Z197" i="40" s="1"/>
  <c r="X185" i="40"/>
  <c r="X191" i="40" s="1"/>
  <c r="X193" i="40" s="1"/>
  <c r="X197" i="40" s="1"/>
  <c r="X146" i="40"/>
  <c r="W186" i="40"/>
  <c r="BI186" i="40"/>
  <c r="BQ186" i="40"/>
  <c r="CS186" i="40"/>
  <c r="AA186" i="40"/>
  <c r="CN102" i="40"/>
  <c r="CH102" i="40" s="1"/>
  <c r="BL102" i="40"/>
  <c r="BF102" i="40" s="1"/>
  <c r="CH106" i="40"/>
  <c r="BF127" i="40"/>
  <c r="BS142" i="40"/>
  <c r="CG142" i="40" s="1"/>
  <c r="AQ142" i="40"/>
  <c r="BE142" i="40" s="1"/>
  <c r="CH145" i="40"/>
  <c r="Z146" i="40"/>
  <c r="CH152" i="40"/>
  <c r="CJ167" i="40"/>
  <c r="BL167" i="40"/>
  <c r="AI192" i="40"/>
  <c r="BN192" i="40"/>
  <c r="CM192" i="40"/>
  <c r="AI181" i="40"/>
  <c r="BK181" i="40"/>
  <c r="BY183" i="40"/>
  <c r="BH190" i="40"/>
  <c r="BP190" i="40"/>
  <c r="CJ190" i="40"/>
  <c r="CR190" i="40"/>
  <c r="CR21" i="40"/>
  <c r="BR187" i="40"/>
  <c r="CT187" i="40"/>
  <c r="AQ69" i="40"/>
  <c r="BE69" i="40" s="1"/>
  <c r="CQ188" i="40"/>
  <c r="BP5" i="40"/>
  <c r="BF5" i="40" s="1"/>
  <c r="BI190" i="40"/>
  <c r="BQ190" i="40"/>
  <c r="CK190" i="40"/>
  <c r="CS190" i="40"/>
  <c r="CJ21" i="40"/>
  <c r="CS21" i="40"/>
  <c r="AQ41" i="40"/>
  <c r="BE41" i="40" s="1"/>
  <c r="AQ49" i="40"/>
  <c r="BE49" i="40" s="1"/>
  <c r="CM187" i="40"/>
  <c r="BK188" i="40"/>
  <c r="CR188" i="40"/>
  <c r="AI146" i="40"/>
  <c r="BO88" i="40"/>
  <c r="AI185" i="40"/>
  <c r="AI191" i="40" s="1"/>
  <c r="AI193" i="40" s="1"/>
  <c r="BJ185" i="40"/>
  <c r="BR185" i="40"/>
  <c r="CL185" i="40"/>
  <c r="CT185" i="40"/>
  <c r="BJ186" i="40"/>
  <c r="BR186" i="40"/>
  <c r="BR199" i="40" s="1"/>
  <c r="CL186" i="40"/>
  <c r="CT186" i="40"/>
  <c r="BF106" i="40"/>
  <c r="BF123" i="40"/>
  <c r="CH143" i="40"/>
  <c r="BO149" i="40"/>
  <c r="BO150" i="40" s="1"/>
  <c r="CQ149" i="40"/>
  <c r="CH149" i="40" s="1"/>
  <c r="AD150" i="40"/>
  <c r="U149" i="40"/>
  <c r="S149" i="40" s="1"/>
  <c r="BF152" i="40"/>
  <c r="BO167" i="40"/>
  <c r="CK167" i="40"/>
  <c r="BL181" i="40"/>
  <c r="V181" i="40"/>
  <c r="V183" i="40" s="1"/>
  <c r="BG176" i="40"/>
  <c r="BF176" i="40" s="1"/>
  <c r="CI176" i="40"/>
  <c r="CH176" i="40" s="1"/>
  <c r="AK183" i="40"/>
  <c r="AV183" i="40"/>
  <c r="AV195" i="40" s="1"/>
  <c r="BZ183" i="40"/>
  <c r="AN191" i="40"/>
  <c r="AN193" i="40" s="1"/>
  <c r="BF120" i="40"/>
  <c r="BF136" i="40"/>
  <c r="AI167" i="40"/>
  <c r="CH160" i="40"/>
  <c r="CH177" i="40"/>
  <c r="AN183" i="40"/>
  <c r="AC191" i="40"/>
  <c r="AC193" i="40" s="1"/>
  <c r="AC197" i="40" s="1"/>
  <c r="AM191" i="40"/>
  <c r="AM193" i="40" s="1"/>
  <c r="AO58" i="43"/>
  <c r="AQ58" i="43" s="1"/>
  <c r="AY58" i="43"/>
  <c r="AZ58" i="43" s="1"/>
  <c r="AA58" i="43"/>
  <c r="AS58" i="43"/>
  <c r="AU58" i="43" s="1"/>
  <c r="AC58" i="43"/>
  <c r="Y58" i="43"/>
  <c r="W36" i="44"/>
  <c r="P69" i="44"/>
  <c r="P37" i="44"/>
  <c r="P33" i="44" s="1"/>
  <c r="BF112" i="40"/>
  <c r="CH119" i="40"/>
  <c r="BS121" i="40"/>
  <c r="CG121" i="40" s="1"/>
  <c r="CH128" i="40"/>
  <c r="CH135" i="40"/>
  <c r="BS137" i="40"/>
  <c r="CG137" i="40" s="1"/>
  <c r="CH144" i="40"/>
  <c r="BG192" i="40"/>
  <c r="BO192" i="40"/>
  <c r="CN192" i="40"/>
  <c r="BF158" i="40"/>
  <c r="CD183" i="40"/>
  <c r="CD195" i="40" s="1"/>
  <c r="AE191" i="40"/>
  <c r="AE193" i="40" s="1"/>
  <c r="AE197" i="40" s="1"/>
  <c r="AY57" i="43"/>
  <c r="AZ57" i="43" s="1"/>
  <c r="AC57" i="43"/>
  <c r="Y57" i="43"/>
  <c r="BL186" i="40"/>
  <c r="CN186" i="40"/>
  <c r="BF119" i="40"/>
  <c r="BF135" i="40"/>
  <c r="BF145" i="40"/>
  <c r="AM183" i="40"/>
  <c r="BN167" i="40"/>
  <c r="BH192" i="40"/>
  <c r="BP192" i="40"/>
  <c r="CO192" i="40"/>
  <c r="AJ192" i="40"/>
  <c r="AJ167" i="40"/>
  <c r="AJ183" i="40" s="1"/>
  <c r="BS164" i="40"/>
  <c r="CG164" i="40" s="1"/>
  <c r="S164" i="40"/>
  <c r="CS181" i="40"/>
  <c r="AQ180" i="40"/>
  <c r="BE180" i="40" s="1"/>
  <c r="CH180" i="40"/>
  <c r="AP191" i="40"/>
  <c r="AP193" i="40" s="1"/>
  <c r="CF191" i="40"/>
  <c r="CF193" i="40" s="1"/>
  <c r="Z183" i="40"/>
  <c r="BD183" i="40"/>
  <c r="AX191" i="40"/>
  <c r="AX193" i="40" s="1"/>
  <c r="BZ191" i="40"/>
  <c r="BZ193" i="40" s="1"/>
  <c r="CR192" i="40"/>
  <c r="BS161" i="40"/>
  <c r="CG161" i="40" s="1"/>
  <c r="AF192" i="40"/>
  <c r="BS166" i="40"/>
  <c r="CG166" i="40" s="1"/>
  <c r="G191" i="40"/>
  <c r="G193" i="40" s="1"/>
  <c r="AC20" i="43"/>
  <c r="AS20" i="43"/>
  <c r="AM20" i="43"/>
  <c r="AQ20" i="43" s="1"/>
  <c r="AA20" i="43"/>
  <c r="AY20" i="43"/>
  <c r="AZ20" i="43" s="1"/>
  <c r="T4" i="44"/>
  <c r="T3" i="44" s="1"/>
  <c r="P22" i="44"/>
  <c r="I54" i="44"/>
  <c r="T58" i="44"/>
  <c r="T57" i="44" s="1"/>
  <c r="H57" i="44"/>
  <c r="H56" i="44" s="1"/>
  <c r="BL192" i="40"/>
  <c r="AQ161" i="40"/>
  <c r="BE161" i="40" s="1"/>
  <c r="CQ181" i="40"/>
  <c r="CH171" i="40"/>
  <c r="AD186" i="40"/>
  <c r="AD181" i="40"/>
  <c r="AD183" i="40" s="1"/>
  <c r="CF183" i="40"/>
  <c r="CF195" i="40" s="1"/>
  <c r="BD191" i="40"/>
  <c r="BD193" i="40" s="1"/>
  <c r="Y20" i="43"/>
  <c r="AG47" i="43"/>
  <c r="AG75" i="43" s="1"/>
  <c r="AQ42" i="43"/>
  <c r="AQ47" i="43" s="1"/>
  <c r="M13" i="44"/>
  <c r="L13" i="44"/>
  <c r="U192" i="40"/>
  <c r="S157" i="40"/>
  <c r="BM192" i="40"/>
  <c r="BQ162" i="40"/>
  <c r="BF162" i="40" s="1"/>
  <c r="AQ169" i="40"/>
  <c r="BE169" i="40" s="1"/>
  <c r="BS169" i="40"/>
  <c r="CG169" i="40" s="1"/>
  <c r="BF171" i="40"/>
  <c r="I191" i="40"/>
  <c r="I193" i="40" s="1"/>
  <c r="BW191" i="40"/>
  <c r="BW193" i="40" s="1"/>
  <c r="Q17" i="44"/>
  <c r="I21" i="44"/>
  <c r="L34" i="44"/>
  <c r="AQ154" i="40"/>
  <c r="BE154" i="40" s="1"/>
  <c r="AQ155" i="40"/>
  <c r="BE155" i="40" s="1"/>
  <c r="CK192" i="40"/>
  <c r="CT192" i="40"/>
  <c r="BS163" i="40"/>
  <c r="CG163" i="40" s="1"/>
  <c r="BQ164" i="40"/>
  <c r="BF164" i="40" s="1"/>
  <c r="AO191" i="40"/>
  <c r="AO193" i="40" s="1"/>
  <c r="BY191" i="40"/>
  <c r="BY193" i="40" s="1"/>
  <c r="AY30" i="43"/>
  <c r="AZ30" i="43" s="1"/>
  <c r="AW47" i="43"/>
  <c r="AY61" i="43"/>
  <c r="AZ61" i="43" s="1"/>
  <c r="AC61" i="43"/>
  <c r="L17" i="44"/>
  <c r="R69" i="44"/>
  <c r="R37" i="44"/>
  <c r="R33" i="44" s="1"/>
  <c r="I46" i="44"/>
  <c r="P76" i="44"/>
  <c r="H76" i="44"/>
  <c r="H52" i="44"/>
  <c r="R76" i="44"/>
  <c r="BQ31" i="43"/>
  <c r="BM47" i="43"/>
  <c r="BQ40" i="43"/>
  <c r="W11" i="44"/>
  <c r="M17" i="44"/>
  <c r="U34" i="44"/>
  <c r="M44" i="44"/>
  <c r="M43" i="44" s="1"/>
  <c r="F49" i="44"/>
  <c r="W64" i="44"/>
  <c r="U13" i="43"/>
  <c r="AC31" i="43"/>
  <c r="AY31" i="43"/>
  <c r="AZ31" i="43" s="1"/>
  <c r="AA31" i="43"/>
  <c r="Y31" i="43"/>
  <c r="AR31" i="43"/>
  <c r="BK75" i="43"/>
  <c r="V10" i="44"/>
  <c r="F71" i="44"/>
  <c r="T52" i="44"/>
  <c r="V65" i="44"/>
  <c r="AM19" i="43"/>
  <c r="AQ19" i="43" s="1"/>
  <c r="AY19" i="43"/>
  <c r="AZ19" i="43" s="1"/>
  <c r="AA19" i="43"/>
  <c r="AS30" i="43"/>
  <c r="AR30" i="43"/>
  <c r="AM30" i="43"/>
  <c r="AQ30" i="43" s="1"/>
  <c r="Y30" i="43"/>
  <c r="AA32" i="43"/>
  <c r="Y32" i="43"/>
  <c r="AS32" i="43"/>
  <c r="AC40" i="43"/>
  <c r="AS40" i="43"/>
  <c r="AS47" i="43" s="1"/>
  <c r="N22" i="44"/>
  <c r="H37" i="44"/>
  <c r="T41" i="44"/>
  <c r="D48" i="44"/>
  <c r="O56" i="44"/>
  <c r="F56" i="44"/>
  <c r="AC9" i="43"/>
  <c r="AC16" i="43"/>
  <c r="AY25" i="43"/>
  <c r="AZ25" i="43" s="1"/>
  <c r="AS60" i="43"/>
  <c r="AU60" i="43" s="1"/>
  <c r="M9" i="44"/>
  <c r="M8" i="44" s="1"/>
  <c r="N13" i="44"/>
  <c r="H34" i="44"/>
  <c r="H33" i="44" s="1"/>
  <c r="D37" i="44"/>
  <c r="D33" i="44" s="1"/>
  <c r="D66" i="44" s="1"/>
  <c r="V39" i="44"/>
  <c r="V70" i="44" s="1"/>
  <c r="O70" i="44"/>
  <c r="O49" i="44"/>
  <c r="AY18" i="43"/>
  <c r="AZ18" i="43" s="1"/>
  <c r="AC36" i="43"/>
  <c r="AQ52" i="43"/>
  <c r="AY64" i="43"/>
  <c r="AZ64" i="43" s="1"/>
  <c r="L4" i="44"/>
  <c r="L3" i="44" s="1"/>
  <c r="U73" i="44"/>
  <c r="N9" i="44"/>
  <c r="N8" i="44" s="1"/>
  <c r="P9" i="44"/>
  <c r="P8" i="44" s="1"/>
  <c r="N71" i="44"/>
  <c r="F22" i="44"/>
  <c r="N30" i="44"/>
  <c r="M34" i="44"/>
  <c r="I55" i="44"/>
  <c r="U56" i="44"/>
  <c r="W63" i="44"/>
  <c r="AW38" i="43"/>
  <c r="BL75" i="43"/>
  <c r="U65" i="43"/>
  <c r="AC64" i="43"/>
  <c r="Q9" i="44"/>
  <c r="Q8" i="44" s="1"/>
  <c r="U17" i="44"/>
  <c r="N72" i="44"/>
  <c r="Q70" i="44"/>
  <c r="W42" i="44"/>
  <c r="N49" i="44"/>
  <c r="AI75" i="43"/>
  <c r="Y60" i="43"/>
  <c r="Y64" i="43"/>
  <c r="T9" i="44"/>
  <c r="T8" i="44" s="1"/>
  <c r="Q13" i="44"/>
  <c r="P13" i="44"/>
  <c r="P71" i="44"/>
  <c r="I26" i="44"/>
  <c r="R70" i="44"/>
  <c r="Q44" i="44"/>
  <c r="Q43" i="44" s="1"/>
  <c r="L76" i="44"/>
  <c r="BT52" i="40"/>
  <c r="BS52" i="40" s="1"/>
  <c r="CG52" i="40" s="1"/>
  <c r="F9" i="36"/>
  <c r="F8" i="36" s="1"/>
  <c r="AO6" i="29"/>
  <c r="F38" i="33"/>
  <c r="J38" i="33" s="1"/>
  <c r="M38" i="33" s="1"/>
  <c r="AR54" i="40"/>
  <c r="AQ54" i="40" s="1"/>
  <c r="BE54" i="40" s="1"/>
  <c r="AT6" i="43"/>
  <c r="AA72" i="43"/>
  <c r="BT6" i="40"/>
  <c r="BS6" i="40" s="1"/>
  <c r="CG6" i="40" s="1"/>
  <c r="BT31" i="40"/>
  <c r="BS31" i="40" s="1"/>
  <c r="CG31" i="40" s="1"/>
  <c r="BT79" i="40"/>
  <c r="AR158" i="40"/>
  <c r="AQ158" i="40" s="1"/>
  <c r="BE158" i="40" s="1"/>
  <c r="AR78" i="40"/>
  <c r="AQ78" i="40" s="1"/>
  <c r="BE78" i="40" s="1"/>
  <c r="AR40" i="40"/>
  <c r="AQ40" i="40" s="1"/>
  <c r="BE40" i="40" s="1"/>
  <c r="AR58" i="40"/>
  <c r="AQ58" i="40" s="1"/>
  <c r="BE58" i="40" s="1"/>
  <c r="AR67" i="40"/>
  <c r="AQ67" i="40" s="1"/>
  <c r="BE67" i="40" s="1"/>
  <c r="AJ64" i="29"/>
  <c r="AJ74" i="29" s="1"/>
  <c r="AJ76" i="29" s="1"/>
  <c r="BJ74" i="29"/>
  <c r="BJ76" i="29" s="1"/>
  <c r="AN13" i="29"/>
  <c r="AY75" i="29"/>
  <c r="AY76" i="29" s="1"/>
  <c r="BM13" i="43"/>
  <c r="BQ8" i="43"/>
  <c r="BQ13" i="43" s="1"/>
  <c r="AU46" i="29"/>
  <c r="BF74" i="29"/>
  <c r="BF76" i="29" s="1"/>
  <c r="U74" i="29"/>
  <c r="AW74" i="29" s="1"/>
  <c r="AW76" i="29" s="1"/>
  <c r="AG74" i="29"/>
  <c r="AG76" i="29" s="1"/>
  <c r="AD76" i="29"/>
  <c r="G71" i="44"/>
  <c r="V20" i="44"/>
  <c r="V71" i="44" s="1"/>
  <c r="AR78" i="29"/>
  <c r="Q38" i="44"/>
  <c r="BF46" i="29"/>
  <c r="X46" i="29"/>
  <c r="R64" i="29"/>
  <c r="R74" i="29" s="1"/>
  <c r="V63" i="29"/>
  <c r="AZ72" i="29"/>
  <c r="AZ74" i="29" s="1"/>
  <c r="AZ76" i="29"/>
  <c r="AS12" i="43"/>
  <c r="AA12" i="43"/>
  <c r="AY12" i="43"/>
  <c r="AZ12" i="43" s="1"/>
  <c r="AW13" i="43"/>
  <c r="W38" i="43"/>
  <c r="AS15" i="43"/>
  <c r="AS38" i="43" s="1"/>
  <c r="AA15" i="43"/>
  <c r="AC15" i="43"/>
  <c r="AY24" i="43"/>
  <c r="AZ24" i="43" s="1"/>
  <c r="AA24" i="43"/>
  <c r="AS24" i="43"/>
  <c r="AF24" i="43"/>
  <c r="BO65" i="43"/>
  <c r="BO75" i="43" s="1"/>
  <c r="BQ56" i="43"/>
  <c r="AH75" i="43"/>
  <c r="AQ69" i="43"/>
  <c r="AQ73" i="43" s="1"/>
  <c r="BH75" i="43"/>
  <c r="AU8" i="29"/>
  <c r="AL15" i="29"/>
  <c r="AT15" i="29"/>
  <c r="AL23" i="29"/>
  <c r="AT23" i="29"/>
  <c r="AU23" i="29" s="1"/>
  <c r="Q26" i="44"/>
  <c r="Q72" i="44" s="1"/>
  <c r="AR32" i="29"/>
  <c r="AR38" i="29" s="1"/>
  <c r="S35" i="44"/>
  <c r="AU42" i="29"/>
  <c r="V64" i="29"/>
  <c r="V74" i="29" s="1"/>
  <c r="BL53" i="29"/>
  <c r="S51" i="44"/>
  <c r="S49" i="44" s="1"/>
  <c r="S48" i="44" s="1"/>
  <c r="BL54" i="29"/>
  <c r="X100" i="29"/>
  <c r="AA100" i="29" s="1"/>
  <c r="AN63" i="29"/>
  <c r="X72" i="29"/>
  <c r="AT72" i="29"/>
  <c r="BG72" i="29"/>
  <c r="BG74" i="29" s="1"/>
  <c r="BG76" i="29" s="1"/>
  <c r="AF76" i="29"/>
  <c r="AW6" i="43"/>
  <c r="Y15" i="43"/>
  <c r="BE71" i="43"/>
  <c r="BQ17" i="43"/>
  <c r="BQ38" i="43" s="1"/>
  <c r="BE38" i="43"/>
  <c r="BM52" i="43"/>
  <c r="BQ50" i="43"/>
  <c r="BQ52" i="43" s="1"/>
  <c r="AY54" i="43"/>
  <c r="Y54" i="43"/>
  <c r="AC54" i="43"/>
  <c r="AA54" i="43"/>
  <c r="AS54" i="43"/>
  <c r="AF54" i="43"/>
  <c r="U72" i="44"/>
  <c r="U22" i="44"/>
  <c r="AT3" i="29"/>
  <c r="AL5" i="29"/>
  <c r="AL6" i="29" s="1"/>
  <c r="X98" i="29"/>
  <c r="AA98" i="29" s="1"/>
  <c r="BH8" i="29"/>
  <c r="AT10" i="29"/>
  <c r="AU10" i="29" s="1"/>
  <c r="AL13" i="29"/>
  <c r="AR13" i="29"/>
  <c r="AH16" i="29"/>
  <c r="AL16" i="29" s="1"/>
  <c r="AL18" i="29"/>
  <c r="R17" i="44"/>
  <c r="AA24" i="29"/>
  <c r="AA25" i="29"/>
  <c r="R24" i="44"/>
  <c r="R72" i="44" s="1"/>
  <c r="AH82" i="29"/>
  <c r="AH85" i="29" s="1"/>
  <c r="AM32" i="29"/>
  <c r="AL36" i="29"/>
  <c r="BF38" i="29"/>
  <c r="BL40" i="29"/>
  <c r="AN42" i="29"/>
  <c r="AN46" i="29" s="1"/>
  <c r="BL42" i="29"/>
  <c r="AN43" i="29"/>
  <c r="AP43" i="29" s="1"/>
  <c r="AR91" i="29"/>
  <c r="AS90" i="29" s="1"/>
  <c r="AB46" i="29"/>
  <c r="AB74" i="29" s="1"/>
  <c r="AB76" i="29" s="1"/>
  <c r="BL55" i="29"/>
  <c r="AJ63" i="29"/>
  <c r="AL63" i="29" s="1"/>
  <c r="AT63" i="29"/>
  <c r="AU63" i="29" s="1"/>
  <c r="AU64" i="29" s="1"/>
  <c r="AR64" i="29"/>
  <c r="BH70" i="29"/>
  <c r="S62" i="44" s="1"/>
  <c r="S59" i="44" s="1"/>
  <c r="AT70" i="29"/>
  <c r="AU70" i="29" s="1"/>
  <c r="AN71" i="29"/>
  <c r="AN72" i="29" s="1"/>
  <c r="P65" i="44"/>
  <c r="P70" i="44" s="1"/>
  <c r="P75" i="44" s="1"/>
  <c r="BE72" i="29"/>
  <c r="BE74" i="29" s="1"/>
  <c r="T74" i="29"/>
  <c r="AE74" i="29"/>
  <c r="AE76" i="29" s="1"/>
  <c r="AW75" i="29"/>
  <c r="BC72" i="29"/>
  <c r="BC74" i="29" s="1"/>
  <c r="BC76" i="29" s="1"/>
  <c r="BH72" i="29"/>
  <c r="BD79" i="29"/>
  <c r="BD85" i="29" s="1"/>
  <c r="AP81" i="29"/>
  <c r="Z99" i="29"/>
  <c r="Z101" i="29" s="1"/>
  <c r="AA3" i="43"/>
  <c r="AA6" i="43" s="1"/>
  <c r="AS8" i="43"/>
  <c r="AS13" i="43" s="1"/>
  <c r="AA8" i="43"/>
  <c r="AA13" i="43" s="1"/>
  <c r="W13" i="43"/>
  <c r="AY8" i="43"/>
  <c r="AM8" i="43"/>
  <c r="AC10" i="43"/>
  <c r="AY28" i="43"/>
  <c r="AZ28" i="43" s="1"/>
  <c r="AR28" i="43"/>
  <c r="AA28" i="43"/>
  <c r="AS28" i="43"/>
  <c r="Y28" i="43"/>
  <c r="AS33" i="43"/>
  <c r="AC33" i="43"/>
  <c r="AR33" i="43"/>
  <c r="Y33" i="43"/>
  <c r="AM33" i="43"/>
  <c r="AQ33" i="43" s="1"/>
  <c r="AY33" i="43"/>
  <c r="AZ33" i="43" s="1"/>
  <c r="AA33" i="43"/>
  <c r="Z47" i="43"/>
  <c r="Z75" i="43" s="1"/>
  <c r="AA40" i="43"/>
  <c r="AA55" i="43"/>
  <c r="AC55" i="43"/>
  <c r="AY55" i="43"/>
  <c r="AZ55" i="43" s="1"/>
  <c r="AS55" i="43"/>
  <c r="AY62" i="43"/>
  <c r="AZ62" i="43" s="1"/>
  <c r="Y62" i="43"/>
  <c r="AC62" i="43"/>
  <c r="AA62" i="43"/>
  <c r="AS62" i="43"/>
  <c r="G73" i="44"/>
  <c r="G4" i="44"/>
  <c r="G3" i="44" s="1"/>
  <c r="M73" i="44"/>
  <c r="M4" i="44"/>
  <c r="M3" i="44" s="1"/>
  <c r="Q73" i="44"/>
  <c r="Q4" i="44"/>
  <c r="Q3" i="44" s="1"/>
  <c r="V5" i="44"/>
  <c r="W5" i="44" s="1"/>
  <c r="K4" i="44"/>
  <c r="K3" i="44" s="1"/>
  <c r="W6" i="44"/>
  <c r="U12" i="44"/>
  <c r="M22" i="44"/>
  <c r="H72" i="44"/>
  <c r="T24" i="44"/>
  <c r="T72" i="44" s="1"/>
  <c r="H49" i="44"/>
  <c r="H48" i="44" s="1"/>
  <c r="T50" i="44"/>
  <c r="T49" i="44" s="1"/>
  <c r="T48" i="44" s="1"/>
  <c r="K57" i="44"/>
  <c r="S58" i="44"/>
  <c r="S57" i="44" s="1"/>
  <c r="I62" i="44"/>
  <c r="V62" i="44"/>
  <c r="L26" i="44"/>
  <c r="W26" i="44" s="1"/>
  <c r="AH38" i="29"/>
  <c r="AH74" i="29" s="1"/>
  <c r="AH76" i="29" s="1"/>
  <c r="AN64" i="29"/>
  <c r="AT64" i="29"/>
  <c r="AU72" i="29"/>
  <c r="K59" i="44"/>
  <c r="BE76" i="29"/>
  <c r="AG82" i="29"/>
  <c r="AG85" i="29" s="1"/>
  <c r="AR94" i="29"/>
  <c r="AM12" i="43"/>
  <c r="AQ12" i="43" s="1"/>
  <c r="AY27" i="43"/>
  <c r="AZ27" i="43" s="1"/>
  <c r="AR27" i="43"/>
  <c r="AA27" i="43"/>
  <c r="AC27" i="43"/>
  <c r="AS27" i="43"/>
  <c r="W51" i="44"/>
  <c r="AH83" i="29"/>
  <c r="AW94" i="29"/>
  <c r="R25" i="44"/>
  <c r="L25" i="44"/>
  <c r="AL31" i="29"/>
  <c r="AL82" i="29" s="1"/>
  <c r="BA32" i="29"/>
  <c r="BL32" i="29" s="1"/>
  <c r="BL38" i="29" s="1"/>
  <c r="AL35" i="29"/>
  <c r="BA38" i="29"/>
  <c r="AL42" i="29"/>
  <c r="AL78" i="29" s="1"/>
  <c r="S38" i="44"/>
  <c r="BH78" i="29"/>
  <c r="BH85" i="29" s="1"/>
  <c r="AT43" i="29"/>
  <c r="AU43" i="29" s="1"/>
  <c r="S40" i="44"/>
  <c r="S70" i="44" s="1"/>
  <c r="BL44" i="29"/>
  <c r="S46" i="44"/>
  <c r="S44" i="44" s="1"/>
  <c r="S43" i="44" s="1"/>
  <c r="BL49" i="29"/>
  <c r="BL51" i="29" s="1"/>
  <c r="AL61" i="29"/>
  <c r="AL80" i="29" s="1"/>
  <c r="X64" i="29"/>
  <c r="BB71" i="29"/>
  <c r="BB79" i="29"/>
  <c r="AP72" i="29"/>
  <c r="BB72" i="29"/>
  <c r="BB74" i="29" s="1"/>
  <c r="BB76" i="29" s="1"/>
  <c r="AL75" i="29"/>
  <c r="BA76" i="29"/>
  <c r="AA95" i="29"/>
  <c r="Y12" i="43"/>
  <c r="Y24" i="43"/>
  <c r="AS43" i="43"/>
  <c r="AU43" i="43" s="1"/>
  <c r="AA45" i="43"/>
  <c r="AA49" i="43"/>
  <c r="AC49" i="43"/>
  <c r="W52" i="43"/>
  <c r="Y49" i="43"/>
  <c r="AW73" i="43"/>
  <c r="BM67" i="43"/>
  <c r="H73" i="44"/>
  <c r="H17" i="44"/>
  <c r="T18" i="44"/>
  <c r="T17" i="44" s="1"/>
  <c r="I20" i="44"/>
  <c r="I71" i="44" s="1"/>
  <c r="AH6" i="29"/>
  <c r="R10" i="44"/>
  <c r="AH84" i="29"/>
  <c r="X97" i="29"/>
  <c r="AA97" i="29" s="1"/>
  <c r="AT24" i="29"/>
  <c r="AU24" i="29" s="1"/>
  <c r="L24" i="44"/>
  <c r="BA82" i="29"/>
  <c r="X31" i="29"/>
  <c r="BH51" i="29"/>
  <c r="AL53" i="29"/>
  <c r="K50" i="44"/>
  <c r="AJ80" i="29"/>
  <c r="AJ85" i="29" s="1"/>
  <c r="M61" i="44"/>
  <c r="M59" i="44" s="1"/>
  <c r="AC79" i="29"/>
  <c r="AC85" i="29" s="1"/>
  <c r="G59" i="44"/>
  <c r="G56" i="44" s="1"/>
  <c r="V61" i="44"/>
  <c r="W61" i="44" s="1"/>
  <c r="L65" i="44"/>
  <c r="W65" i="44" s="1"/>
  <c r="BA72" i="29"/>
  <c r="BA74" i="29" s="1"/>
  <c r="BL71" i="29"/>
  <c r="AR72" i="29"/>
  <c r="BI74" i="29"/>
  <c r="BI76" i="29" s="1"/>
  <c r="BD76" i="29"/>
  <c r="BL75" i="29"/>
  <c r="AK85" i="29"/>
  <c r="BB78" i="29"/>
  <c r="BB85" i="29" s="1"/>
  <c r="BF78" i="29"/>
  <c r="BF85" i="29" s="1"/>
  <c r="BG83" i="29"/>
  <c r="BG85" i="29" s="1"/>
  <c r="AS91" i="29"/>
  <c r="AR85" i="29" s="1"/>
  <c r="AA94" i="29"/>
  <c r="AQ3" i="43"/>
  <c r="AQ6" i="43" s="1"/>
  <c r="AA10" i="43"/>
  <c r="AS10" i="43"/>
  <c r="AC12" i="43"/>
  <c r="AM15" i="43"/>
  <c r="AY15" i="43"/>
  <c r="AC24" i="43"/>
  <c r="AF25" i="43"/>
  <c r="AQ25" i="43" s="1"/>
  <c r="Y25" i="43"/>
  <c r="AM26" i="43"/>
  <c r="AQ26" i="43" s="1"/>
  <c r="Y26" i="43"/>
  <c r="AC26" i="43"/>
  <c r="AS26" i="43"/>
  <c r="AA26" i="43"/>
  <c r="AM27" i="43"/>
  <c r="AQ27" i="43" s="1"/>
  <c r="AY49" i="43"/>
  <c r="AS50" i="43"/>
  <c r="AA50" i="43"/>
  <c r="AY50" i="43"/>
  <c r="AZ50" i="43" s="1"/>
  <c r="AC50" i="43"/>
  <c r="AC52" i="43" s="1"/>
  <c r="R73" i="43"/>
  <c r="R75" i="43" s="1"/>
  <c r="U69" i="43"/>
  <c r="U73" i="43" s="1"/>
  <c r="AK75" i="43"/>
  <c r="I73" i="44"/>
  <c r="I4" i="44"/>
  <c r="I3" i="44" s="1"/>
  <c r="N73" i="44"/>
  <c r="R5" i="44"/>
  <c r="W46" i="44"/>
  <c r="V52" i="44"/>
  <c r="V76" i="44"/>
  <c r="AR79" i="29"/>
  <c r="AC3" i="43"/>
  <c r="AC6" i="43" s="1"/>
  <c r="AC5" i="43"/>
  <c r="AB75" i="43"/>
  <c r="AS21" i="43"/>
  <c r="AA21" i="43"/>
  <c r="AM21" i="43"/>
  <c r="AQ21" i="43" s="1"/>
  <c r="AY21" i="43"/>
  <c r="AZ21" i="43" s="1"/>
  <c r="BF38" i="43"/>
  <c r="AS29" i="43"/>
  <c r="AC29" i="43"/>
  <c r="AA29" i="43"/>
  <c r="AY29" i="43"/>
  <c r="AZ29" i="43" s="1"/>
  <c r="AC32" i="43"/>
  <c r="AR34" i="43"/>
  <c r="AA34" i="43"/>
  <c r="AY34" i="43"/>
  <c r="AZ34" i="43" s="1"/>
  <c r="AM34" i="43"/>
  <c r="AQ34" i="43" s="1"/>
  <c r="AC34" i="43"/>
  <c r="AR37" i="43"/>
  <c r="AA37" i="43"/>
  <c r="AC37" i="43"/>
  <c r="AS37" i="43"/>
  <c r="AC43" i="43"/>
  <c r="AO56" i="43"/>
  <c r="Y56" i="43"/>
  <c r="AY56" i="43"/>
  <c r="AZ56" i="43" s="1"/>
  <c r="AC56" i="43"/>
  <c r="AA56" i="43"/>
  <c r="BE65" i="43"/>
  <c r="AS72" i="43"/>
  <c r="AY72" i="43"/>
  <c r="AZ72" i="43" s="1"/>
  <c r="BI75" i="43"/>
  <c r="Q75" i="43"/>
  <c r="AL75" i="43"/>
  <c r="D74" i="44"/>
  <c r="D9" i="44"/>
  <c r="D8" i="44" s="1"/>
  <c r="I10" i="44"/>
  <c r="V74" i="44"/>
  <c r="V9" i="44"/>
  <c r="V8" i="44" s="1"/>
  <c r="G13" i="44"/>
  <c r="G12" i="44" s="1"/>
  <c r="I14" i="44"/>
  <c r="I13" i="44" s="1"/>
  <c r="V14" i="44"/>
  <c r="V13" i="44" s="1"/>
  <c r="V12" i="44" s="1"/>
  <c r="P12" i="44"/>
  <c r="R22" i="44"/>
  <c r="W27" i="44"/>
  <c r="W28" i="44"/>
  <c r="W29" i="44"/>
  <c r="I50" i="44"/>
  <c r="I49" i="44" s="1"/>
  <c r="F52" i="44"/>
  <c r="F48" i="44" s="1"/>
  <c r="U53" i="44"/>
  <c r="W53" i="44" s="1"/>
  <c r="F76" i="44"/>
  <c r="M76" i="44"/>
  <c r="M52" i="44"/>
  <c r="M48" i="44" s="1"/>
  <c r="Q76" i="44"/>
  <c r="Q52" i="44"/>
  <c r="Q48" i="44" s="1"/>
  <c r="N76" i="44"/>
  <c r="W54" i="44"/>
  <c r="L70" i="44"/>
  <c r="G44" i="44"/>
  <c r="G43" i="44" s="1"/>
  <c r="I45" i="44"/>
  <c r="I44" i="44" s="1"/>
  <c r="I43" i="44" s="1"/>
  <c r="Y3" i="43"/>
  <c r="Y6" i="43" s="1"/>
  <c r="Y5" i="43"/>
  <c r="AM16" i="43"/>
  <c r="AQ16" i="43" s="1"/>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C59" i="43"/>
  <c r="Y59" i="43"/>
  <c r="AY59" i="43"/>
  <c r="AZ59" i="43" s="1"/>
  <c r="AC72" i="43"/>
  <c r="AC73" i="43" s="1"/>
  <c r="P4" i="44"/>
  <c r="P3" i="44" s="1"/>
  <c r="U4" i="44"/>
  <c r="U3" i="44" s="1"/>
  <c r="I7" i="44"/>
  <c r="F9" i="44"/>
  <c r="F8" i="44" s="1"/>
  <c r="F74" i="44"/>
  <c r="K74" i="44"/>
  <c r="K9" i="44"/>
  <c r="K8" i="44" s="1"/>
  <c r="O74" i="44"/>
  <c r="O9" i="44"/>
  <c r="O8" i="44" s="1"/>
  <c r="F12" i="44"/>
  <c r="S12" i="44"/>
  <c r="K13" i="44"/>
  <c r="O13" i="44"/>
  <c r="O12" i="44" s="1"/>
  <c r="T23" i="44"/>
  <c r="H22" i="44"/>
  <c r="I35" i="44"/>
  <c r="I34" i="44" s="1"/>
  <c r="T35" i="44"/>
  <c r="T34" i="44" s="1"/>
  <c r="K37" i="44"/>
  <c r="K33" i="44" s="1"/>
  <c r="K69" i="44"/>
  <c r="V45" i="44"/>
  <c r="V44" i="44" s="1"/>
  <c r="V43" i="44" s="1"/>
  <c r="K76" i="44"/>
  <c r="AY35" i="43"/>
  <c r="AZ35" i="43" s="1"/>
  <c r="Y35" i="43"/>
  <c r="AR35" i="43"/>
  <c r="AY44" i="43"/>
  <c r="AZ44" i="43" s="1"/>
  <c r="AS44" i="43"/>
  <c r="AC44" i="43"/>
  <c r="AO57" i="43"/>
  <c r="AQ57" i="43" s="1"/>
  <c r="AO61" i="43"/>
  <c r="AQ61" i="43" s="1"/>
  <c r="BN75" i="43"/>
  <c r="L74" i="44"/>
  <c r="L9" i="44"/>
  <c r="L8" i="44" s="1"/>
  <c r="P74" i="44"/>
  <c r="T74" i="44"/>
  <c r="F73" i="44"/>
  <c r="I23" i="44"/>
  <c r="I22" i="44" s="1"/>
  <c r="F72" i="44"/>
  <c r="P72" i="44"/>
  <c r="I27" i="44"/>
  <c r="I28" i="44"/>
  <c r="I29" i="44"/>
  <c r="W31" i="44"/>
  <c r="W30" i="44" s="1"/>
  <c r="H44" i="44"/>
  <c r="H43" i="44" s="1"/>
  <c r="T45" i="44"/>
  <c r="R48" i="44"/>
  <c r="N48" i="44"/>
  <c r="T65" i="44"/>
  <c r="T70" i="44" s="1"/>
  <c r="H70" i="44"/>
  <c r="H59" i="44"/>
  <c r="AY40" i="43"/>
  <c r="Y40" i="43"/>
  <c r="W47" i="43"/>
  <c r="AW65" i="43"/>
  <c r="BM55" i="43"/>
  <c r="AS57" i="43"/>
  <c r="AA57" i="43"/>
  <c r="AS61" i="43"/>
  <c r="AA61" i="43"/>
  <c r="BQ69" i="43"/>
  <c r="BG72" i="43"/>
  <c r="BG73" i="43" s="1"/>
  <c r="BG75" i="43" s="1"/>
  <c r="BD75" i="43"/>
  <c r="BJ75" i="43"/>
  <c r="L73" i="44"/>
  <c r="P73" i="44"/>
  <c r="H71" i="44"/>
  <c r="M71" i="44"/>
  <c r="Q71" i="44"/>
  <c r="M72" i="44"/>
  <c r="I36" i="44"/>
  <c r="I41" i="44"/>
  <c r="AC30" i="43"/>
  <c r="AC42" i="43"/>
  <c r="AS63" i="43"/>
  <c r="AA63" i="43"/>
  <c r="W73" i="43"/>
  <c r="AY67" i="43"/>
  <c r="AS67" i="43"/>
  <c r="AS73" i="43" s="1"/>
  <c r="Y67" i="43"/>
  <c r="AA71" i="43"/>
  <c r="AY71" i="43"/>
  <c r="AZ71" i="43" s="1"/>
  <c r="W7" i="44"/>
  <c r="D12" i="44"/>
  <c r="I18" i="44"/>
  <c r="I17" i="44" s="1"/>
  <c r="N17" i="44"/>
  <c r="I24" i="44"/>
  <c r="I72" i="44" s="1"/>
  <c r="I25" i="44"/>
  <c r="W25" i="44"/>
  <c r="V35" i="44"/>
  <c r="V34" i="44" s="1"/>
  <c r="G34" i="44"/>
  <c r="G33" i="44" s="1"/>
  <c r="F69" i="44"/>
  <c r="L69" i="44"/>
  <c r="L75" i="44" s="1"/>
  <c r="L77" i="44" s="1"/>
  <c r="M69" i="44"/>
  <c r="M75" i="44" s="1"/>
  <c r="M37" i="44"/>
  <c r="M33" i="44" s="1"/>
  <c r="T69" i="44"/>
  <c r="U69" i="44"/>
  <c r="U37" i="44"/>
  <c r="W41" i="44"/>
  <c r="N44" i="44"/>
  <c r="N43" i="44" s="1"/>
  <c r="R44" i="44"/>
  <c r="R43" i="44" s="1"/>
  <c r="I51" i="44"/>
  <c r="G76" i="44"/>
  <c r="G77" i="44" s="1"/>
  <c r="G52" i="44"/>
  <c r="G136" i="28"/>
  <c r="K73" i="44"/>
  <c r="O73" i="44"/>
  <c r="H74" i="44"/>
  <c r="M74" i="44"/>
  <c r="Q74" i="44"/>
  <c r="U74" i="44"/>
  <c r="L71" i="44"/>
  <c r="U71" i="44"/>
  <c r="O72" i="44"/>
  <c r="V69" i="44"/>
  <c r="V75" i="44" s="1"/>
  <c r="V37" i="44"/>
  <c r="K70" i="44"/>
  <c r="W39" i="44"/>
  <c r="W70" i="44" s="1"/>
  <c r="T37" i="44"/>
  <c r="T33" i="44" s="1"/>
  <c r="I47" i="44"/>
  <c r="W47" i="44"/>
  <c r="L49" i="44"/>
  <c r="L48" i="44" s="1"/>
  <c r="P49" i="44"/>
  <c r="P52" i="44"/>
  <c r="T76" i="44"/>
  <c r="U55" i="44"/>
  <c r="W55" i="44" s="1"/>
  <c r="M56" i="44"/>
  <c r="V59" i="44"/>
  <c r="V56" i="44" s="1"/>
  <c r="T144" i="28"/>
  <c r="T146" i="28" s="1"/>
  <c r="I53" i="44"/>
  <c r="I61" i="44"/>
  <c r="Q59" i="44"/>
  <c r="Q56" i="44" s="1"/>
  <c r="I65" i="44"/>
  <c r="AE282" i="45" s="1"/>
  <c r="D76" i="44"/>
  <c r="D77" i="44" s="1"/>
  <c r="H69" i="44"/>
  <c r="M70" i="44"/>
  <c r="G49" i="44"/>
  <c r="V50" i="44"/>
  <c r="V49" i="44" s="1"/>
  <c r="V48" i="44" s="1"/>
  <c r="K52" i="44"/>
  <c r="O52" i="44"/>
  <c r="O48" i="44" s="1"/>
  <c r="I58" i="44"/>
  <c r="I57" i="44" s="1"/>
  <c r="I56" i="44" s="1"/>
  <c r="W60" i="44"/>
  <c r="P9" i="28"/>
  <c r="R9" i="28" s="1"/>
  <c r="O76" i="44"/>
  <c r="AG142" i="28"/>
  <c r="F36" i="33"/>
  <c r="G36" i="33" s="1"/>
  <c r="BT20" i="40"/>
  <c r="BS20" i="40" s="1"/>
  <c r="CG20" i="40" s="1"/>
  <c r="BG24" i="40"/>
  <c r="BF24" i="40" s="1"/>
  <c r="BT28" i="40"/>
  <c r="BS28" i="40" s="1"/>
  <c r="CG28" i="40" s="1"/>
  <c r="AR31" i="40"/>
  <c r="AQ31" i="40" s="1"/>
  <c r="BE31" i="40" s="1"/>
  <c r="BT42" i="40"/>
  <c r="BS42" i="40" s="1"/>
  <c r="CG42" i="40" s="1"/>
  <c r="AR148" i="40"/>
  <c r="AQ148" i="40" s="1"/>
  <c r="BE148" i="40" s="1"/>
  <c r="AR162" i="40"/>
  <c r="AQ162" i="40" s="1"/>
  <c r="BE162" i="40" s="1"/>
  <c r="AT52" i="43"/>
  <c r="L37" i="44"/>
  <c r="L33" i="44" s="1"/>
  <c r="W38" i="44"/>
  <c r="W69" i="44" s="1"/>
  <c r="W75" i="44" s="1"/>
  <c r="C30" i="33"/>
  <c r="C37" i="33"/>
  <c r="CP20" i="40"/>
  <c r="AR38" i="40"/>
  <c r="AQ38" i="40" s="1"/>
  <c r="BE38" i="40" s="1"/>
  <c r="AR85" i="40"/>
  <c r="AQ85" i="40" s="1"/>
  <c r="BE85" i="40" s="1"/>
  <c r="BT89" i="40"/>
  <c r="BS89" i="40" s="1"/>
  <c r="CG89" i="40" s="1"/>
  <c r="AR164" i="40"/>
  <c r="AQ164" i="40" s="1"/>
  <c r="BE164" i="40" s="1"/>
  <c r="F37" i="44"/>
  <c r="F33" i="44" s="1"/>
  <c r="BN20" i="40"/>
  <c r="BF20" i="40" s="1"/>
  <c r="BU21" i="40"/>
  <c r="BG35" i="40"/>
  <c r="BF35" i="40" s="1"/>
  <c r="BG52" i="40"/>
  <c r="BF52" i="40" s="1"/>
  <c r="BG69" i="40"/>
  <c r="BF69" i="40" s="1"/>
  <c r="BG154" i="40"/>
  <c r="BF154" i="40" s="1"/>
  <c r="F53" i="33"/>
  <c r="G53" i="33" s="1"/>
  <c r="AO38" i="29"/>
  <c r="BG6" i="40"/>
  <c r="BF6" i="40" s="1"/>
  <c r="CB10" i="40"/>
  <c r="BG148" i="40"/>
  <c r="BF148" i="40" s="1"/>
  <c r="Y42" i="43"/>
  <c r="Y72" i="43"/>
  <c r="AY4" i="28"/>
  <c r="CI19" i="40"/>
  <c r="CI21" i="40" s="1"/>
  <c r="BG155" i="40"/>
  <c r="BF155" i="40" s="1"/>
  <c r="F34" i="36"/>
  <c r="G39" i="33"/>
  <c r="F15" i="33"/>
  <c r="J15" i="33" s="1"/>
  <c r="M15" i="33" s="1"/>
  <c r="F18" i="33"/>
  <c r="J18" i="33" s="1"/>
  <c r="F28" i="33"/>
  <c r="G28" i="33" s="1"/>
  <c r="C50" i="36"/>
  <c r="F50" i="36" s="1"/>
  <c r="AQ6" i="40"/>
  <c r="BE6" i="40" s="1"/>
  <c r="AS10" i="40"/>
  <c r="BT19" i="40"/>
  <c r="BS19" i="40" s="1"/>
  <c r="CG19" i="40" s="1"/>
  <c r="AR39" i="40"/>
  <c r="AQ39" i="40" s="1"/>
  <c r="BE39" i="40" s="1"/>
  <c r="AR71" i="40"/>
  <c r="AQ71" i="40" s="1"/>
  <c r="BE71" i="40" s="1"/>
  <c r="BT157" i="40"/>
  <c r="BS157" i="40" s="1"/>
  <c r="CG157" i="40" s="1"/>
  <c r="AT47" i="43"/>
  <c r="AC9" i="28"/>
  <c r="AC136" i="28" s="1"/>
  <c r="J26" i="33"/>
  <c r="M26" i="33" s="1"/>
  <c r="G26" i="33"/>
  <c r="G50" i="33"/>
  <c r="G48" i="33" s="1"/>
  <c r="J50" i="33"/>
  <c r="M50" i="33" s="1"/>
  <c r="J56" i="33"/>
  <c r="M57" i="33"/>
  <c r="M56" i="33" s="1"/>
  <c r="J20" i="33"/>
  <c r="M20" i="33" s="1"/>
  <c r="G20" i="33"/>
  <c r="CI71" i="40"/>
  <c r="CH71" i="40" s="1"/>
  <c r="BT71" i="40"/>
  <c r="BS71" i="40" s="1"/>
  <c r="CG71" i="40" s="1"/>
  <c r="F14" i="33"/>
  <c r="G14" i="33" s="1"/>
  <c r="F27" i="33"/>
  <c r="G45" i="33"/>
  <c r="C26" i="36"/>
  <c r="F26" i="36" s="1"/>
  <c r="AO72" i="29"/>
  <c r="CI85" i="40"/>
  <c r="CH85" i="40" s="1"/>
  <c r="BT85" i="40"/>
  <c r="BS85" i="40" s="1"/>
  <c r="CG85" i="40" s="1"/>
  <c r="AU185" i="40"/>
  <c r="AU191" i="40" s="1"/>
  <c r="AU193" i="40" s="1"/>
  <c r="BI95" i="40"/>
  <c r="AT13" i="43"/>
  <c r="C13" i="33"/>
  <c r="F23" i="33"/>
  <c r="G23" i="33" s="1"/>
  <c r="F64" i="33"/>
  <c r="C44" i="36"/>
  <c r="F44" i="36" s="1"/>
  <c r="AO64" i="29"/>
  <c r="BH178" i="40"/>
  <c r="BH186" i="40" s="1"/>
  <c r="BF186" i="40" s="1"/>
  <c r="AR178" i="40"/>
  <c r="AT186" i="40"/>
  <c r="AR186" i="40" s="1"/>
  <c r="BU10" i="40"/>
  <c r="AR68" i="40"/>
  <c r="AQ68" i="40" s="1"/>
  <c r="BE68" i="40" s="1"/>
  <c r="BG68" i="40"/>
  <c r="BF68" i="40" s="1"/>
  <c r="BT68" i="40"/>
  <c r="BS68" i="40" s="1"/>
  <c r="CG68" i="40" s="1"/>
  <c r="CI68" i="40"/>
  <c r="CH68" i="40" s="1"/>
  <c r="BQ165" i="40"/>
  <c r="BF165" i="40" s="1"/>
  <c r="F6" i="33"/>
  <c r="F7" i="33"/>
  <c r="F31" i="33"/>
  <c r="J31" i="33" s="1"/>
  <c r="M31" i="33" s="1"/>
  <c r="F35" i="33"/>
  <c r="J35" i="33" s="1"/>
  <c r="M35" i="33" s="1"/>
  <c r="C71" i="33"/>
  <c r="AR84" i="29"/>
  <c r="AP83" i="29" s="1"/>
  <c r="CP47" i="40"/>
  <c r="CH47" i="40" s="1"/>
  <c r="F10" i="33"/>
  <c r="G10" i="33" s="1"/>
  <c r="F24" i="33"/>
  <c r="J24" i="33" s="1"/>
  <c r="M24" i="33" s="1"/>
  <c r="C34" i="33"/>
  <c r="C48" i="33"/>
  <c r="C51" i="33"/>
  <c r="F54" i="33"/>
  <c r="G54" i="33" s="1"/>
  <c r="C20" i="36"/>
  <c r="F20" i="36" s="1"/>
  <c r="AY185" i="40"/>
  <c r="BA146" i="40" s="1"/>
  <c r="BA183" i="40" s="1"/>
  <c r="CE191" i="40"/>
  <c r="AT65" i="43"/>
  <c r="C22" i="33"/>
  <c r="C43" i="33"/>
  <c r="C42" i="33" s="1"/>
  <c r="F46" i="33"/>
  <c r="F43" i="33" s="1"/>
  <c r="F42" i="33" s="1"/>
  <c r="AU96" i="29"/>
  <c r="BG8" i="40"/>
  <c r="BF8" i="40" s="1"/>
  <c r="AR8" i="40"/>
  <c r="AQ8" i="40" s="1"/>
  <c r="BE8" i="40" s="1"/>
  <c r="CB86" i="40"/>
  <c r="AR43" i="40"/>
  <c r="AQ43" i="40" s="1"/>
  <c r="BE43" i="40" s="1"/>
  <c r="AR51" i="40"/>
  <c r="AQ51" i="40" s="1"/>
  <c r="BE51" i="40" s="1"/>
  <c r="BT70" i="40"/>
  <c r="BS70" i="40" s="1"/>
  <c r="CG70" i="40" s="1"/>
  <c r="AR73" i="40"/>
  <c r="AQ73" i="40" s="1"/>
  <c r="BE73" i="40" s="1"/>
  <c r="BN73" i="40"/>
  <c r="BN74" i="40"/>
  <c r="BF74" i="40" s="1"/>
  <c r="AY188" i="40"/>
  <c r="BM79" i="40"/>
  <c r="BM188" i="40" s="1"/>
  <c r="AR79" i="40"/>
  <c r="AU146" i="40"/>
  <c r="AU183" i="40" s="1"/>
  <c r="BT160" i="40"/>
  <c r="BS160" i="40" s="1"/>
  <c r="CG160" i="40" s="1"/>
  <c r="AT191" i="40"/>
  <c r="AT193" i="40" s="1"/>
  <c r="AR185" i="40"/>
  <c r="BF185" i="40"/>
  <c r="AZ188" i="40"/>
  <c r="BV86" i="40"/>
  <c r="BC191" i="40"/>
  <c r="CB190" i="40"/>
  <c r="BT190" i="40" s="1"/>
  <c r="AA42" i="43"/>
  <c r="X73" i="43"/>
  <c r="I39" i="44"/>
  <c r="F70" i="44"/>
  <c r="AO46" i="29"/>
  <c r="AO51" i="29"/>
  <c r="BG36" i="40"/>
  <c r="BF36" i="40" s="1"/>
  <c r="BG50" i="40"/>
  <c r="BF50" i="40" s="1"/>
  <c r="BN78" i="40"/>
  <c r="BF78" i="40" s="1"/>
  <c r="AS167" i="40"/>
  <c r="BQ163" i="40"/>
  <c r="BF163" i="40" s="1"/>
  <c r="AS189" i="40"/>
  <c r="AR189" i="40" s="1"/>
  <c r="AT73" i="43"/>
  <c r="AD9" i="28"/>
  <c r="AE9" i="28" s="1"/>
  <c r="F4" i="36"/>
  <c r="F3" i="36" s="1"/>
  <c r="F18" i="36"/>
  <c r="CH74" i="40"/>
  <c r="C19" i="36"/>
  <c r="F19" i="36" s="1"/>
  <c r="F19" i="33"/>
  <c r="J44" i="33"/>
  <c r="BU86" i="40"/>
  <c r="BT24" i="40"/>
  <c r="AR47" i="40"/>
  <c r="AQ47" i="40" s="1"/>
  <c r="BE47" i="40" s="1"/>
  <c r="BN47" i="40"/>
  <c r="BF47" i="40" s="1"/>
  <c r="CO79" i="40"/>
  <c r="CA188" i="40"/>
  <c r="CA191" i="40" s="1"/>
  <c r="CA193" i="40" s="1"/>
  <c r="CA86" i="40"/>
  <c r="CA183" i="40" s="1"/>
  <c r="BF88" i="40"/>
  <c r="BC167" i="40"/>
  <c r="BC183" i="40" s="1"/>
  <c r="BQ157" i="40"/>
  <c r="AR157" i="40"/>
  <c r="AQ157" i="40" s="1"/>
  <c r="BE157" i="40" s="1"/>
  <c r="F5" i="33"/>
  <c r="C9" i="33"/>
  <c r="C8" i="33" s="1"/>
  <c r="F11" i="33"/>
  <c r="F16" i="33"/>
  <c r="C17" i="33"/>
  <c r="F21" i="33"/>
  <c r="F41" i="33"/>
  <c r="C41" i="36"/>
  <c r="F41" i="36" s="1"/>
  <c r="G44" i="33"/>
  <c r="G57" i="33"/>
  <c r="G56" i="33" s="1"/>
  <c r="F56" i="33"/>
  <c r="C58" i="33"/>
  <c r="C60" i="36"/>
  <c r="C68" i="33"/>
  <c r="C69" i="33"/>
  <c r="C70" i="33"/>
  <c r="C34" i="36"/>
  <c r="CI24" i="40"/>
  <c r="BN41" i="40"/>
  <c r="BF41" i="40" s="1"/>
  <c r="BN49" i="40"/>
  <c r="BF49" i="40" s="1"/>
  <c r="BU188" i="40"/>
  <c r="BT188" i="40" s="1"/>
  <c r="BT72" i="40"/>
  <c r="BS72" i="40" s="1"/>
  <c r="CG72" i="40" s="1"/>
  <c r="BH80" i="40"/>
  <c r="AR80" i="40"/>
  <c r="AQ80" i="40" s="1"/>
  <c r="BE80" i="40" s="1"/>
  <c r="AT188" i="40"/>
  <c r="AT86" i="40"/>
  <c r="AT183" i="40" s="1"/>
  <c r="BU146" i="40"/>
  <c r="BT88" i="40"/>
  <c r="BU167" i="40"/>
  <c r="BT153" i="40"/>
  <c r="CS159" i="40"/>
  <c r="CH159" i="40" s="1"/>
  <c r="BT159" i="40"/>
  <c r="BS159" i="40" s="1"/>
  <c r="CG159" i="40" s="1"/>
  <c r="BQ160" i="40"/>
  <c r="BF160" i="40" s="1"/>
  <c r="AR160" i="40"/>
  <c r="AQ160" i="40" s="1"/>
  <c r="BE160" i="40" s="1"/>
  <c r="CS162" i="40"/>
  <c r="CH162" i="40" s="1"/>
  <c r="AZ181" i="40"/>
  <c r="BN178" i="40"/>
  <c r="AZ186" i="40"/>
  <c r="AZ191" i="40" s="1"/>
  <c r="AZ193" i="40" s="1"/>
  <c r="CJ178" i="40"/>
  <c r="BT178" i="40"/>
  <c r="BV186" i="40"/>
  <c r="BV191" i="40" s="1"/>
  <c r="BV193" i="40" s="1"/>
  <c r="BV181" i="40"/>
  <c r="AS187" i="40"/>
  <c r="AR187" i="40" s="1"/>
  <c r="BC192" i="40"/>
  <c r="AR192" i="40" s="1"/>
  <c r="AQ192" i="40" s="1"/>
  <c r="BE192" i="40" s="1"/>
  <c r="C4" i="36"/>
  <c r="C3" i="36" s="1"/>
  <c r="C61" i="36"/>
  <c r="F61" i="36" s="1"/>
  <c r="F61" i="33"/>
  <c r="F73" i="36"/>
  <c r="CB188" i="40"/>
  <c r="BT74" i="40"/>
  <c r="BS74" i="40" s="1"/>
  <c r="CG74" i="40" s="1"/>
  <c r="CP78" i="40"/>
  <c r="CH78" i="40" s="1"/>
  <c r="BT78" i="40"/>
  <c r="BS78" i="40" s="1"/>
  <c r="CG78" i="40" s="1"/>
  <c r="C4" i="33"/>
  <c r="C3" i="33" s="1"/>
  <c r="F14" i="36"/>
  <c r="F13" i="36" s="1"/>
  <c r="C13" i="36"/>
  <c r="F25" i="33"/>
  <c r="C25" i="36"/>
  <c r="F25" i="36" s="1"/>
  <c r="F29" i="33"/>
  <c r="C29" i="36"/>
  <c r="F29" i="36" s="1"/>
  <c r="C40" i="36"/>
  <c r="F40" i="36" s="1"/>
  <c r="F40" i="33"/>
  <c r="G60" i="33"/>
  <c r="J60" i="33"/>
  <c r="F38" i="36"/>
  <c r="C45" i="36"/>
  <c r="AO13" i="29"/>
  <c r="BN6" i="40"/>
  <c r="AZ10" i="40"/>
  <c r="AZ189" i="40"/>
  <c r="BT8" i="40"/>
  <c r="BS8" i="40" s="1"/>
  <c r="CG8" i="40" s="1"/>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I188" i="40"/>
  <c r="CJ80" i="40"/>
  <c r="CH80" i="40" s="1"/>
  <c r="BT80" i="40"/>
  <c r="BS80" i="40" s="1"/>
  <c r="CG80" i="40" s="1"/>
  <c r="CI146" i="40"/>
  <c r="CH88" i="40"/>
  <c r="BG188" i="40"/>
  <c r="C52" i="36"/>
  <c r="F52" i="33"/>
  <c r="C75" i="33"/>
  <c r="BG190" i="40"/>
  <c r="BF19" i="40"/>
  <c r="AR42" i="40"/>
  <c r="AQ42" i="40" s="1"/>
  <c r="BE42" i="40" s="1"/>
  <c r="BN42" i="40"/>
  <c r="BF42" i="40" s="1"/>
  <c r="C73" i="36"/>
  <c r="C9" i="36"/>
  <c r="C8" i="36" s="1"/>
  <c r="J49" i="33"/>
  <c r="F48" i="33"/>
  <c r="C72" i="33"/>
  <c r="C73" i="33"/>
  <c r="C39" i="36"/>
  <c r="C49" i="36"/>
  <c r="AS190" i="40"/>
  <c r="AS21" i="40"/>
  <c r="AR19" i="40"/>
  <c r="CP40" i="40"/>
  <c r="BT40" i="40"/>
  <c r="BS40" i="40" s="1"/>
  <c r="CG40" i="40" s="1"/>
  <c r="AS188" i="40"/>
  <c r="AR72" i="40"/>
  <c r="AQ72" i="40" s="1"/>
  <c r="BE72" i="40" s="1"/>
  <c r="AS146" i="40"/>
  <c r="AR88" i="40"/>
  <c r="BG89" i="40"/>
  <c r="BF89" i="40" s="1"/>
  <c r="AR89" i="40"/>
  <c r="AQ89" i="40" s="1"/>
  <c r="BE89" i="40" s="1"/>
  <c r="BT158" i="40"/>
  <c r="BS158" i="40" s="1"/>
  <c r="CG158" i="40" s="1"/>
  <c r="CE192" i="40"/>
  <c r="CS158" i="40"/>
  <c r="CH158" i="40" s="1"/>
  <c r="CS163" i="40"/>
  <c r="CH163" i="40" s="1"/>
  <c r="AR166" i="40"/>
  <c r="AQ166" i="40" s="1"/>
  <c r="BE166" i="40" s="1"/>
  <c r="BQ166" i="40"/>
  <c r="BF166" i="40" s="1"/>
  <c r="C31" i="36"/>
  <c r="AP46" i="29"/>
  <c r="AP75" i="29" s="1"/>
  <c r="BU189" i="40"/>
  <c r="BT189" i="40" s="1"/>
  <c r="CI6" i="40"/>
  <c r="AZ21" i="40"/>
  <c r="AZ190" i="40"/>
  <c r="AS86" i="40"/>
  <c r="BG23" i="40"/>
  <c r="AR23" i="40"/>
  <c r="CI51" i="40"/>
  <c r="CH51" i="40" s="1"/>
  <c r="BT51" i="40"/>
  <c r="BS51" i="40" s="1"/>
  <c r="CG51" i="40" s="1"/>
  <c r="CI67" i="40"/>
  <c r="BT67" i="40"/>
  <c r="BS67" i="40" s="1"/>
  <c r="CG67" i="40" s="1"/>
  <c r="AY146" i="40"/>
  <c r="AY183" i="40" s="1"/>
  <c r="BU150" i="40"/>
  <c r="CI148" i="40"/>
  <c r="BT148" i="40"/>
  <c r="CE167" i="40"/>
  <c r="CE183" i="40" s="1"/>
  <c r="CB181" i="40"/>
  <c r="CB186" i="40"/>
  <c r="CB191" i="40" s="1"/>
  <c r="CB193" i="40" s="1"/>
  <c r="CP178" i="40"/>
  <c r="BT185" i="40"/>
  <c r="I38" i="44"/>
  <c r="N69" i="44"/>
  <c r="N75" i="44" s="1"/>
  <c r="N77" i="44" s="1"/>
  <c r="N37" i="44"/>
  <c r="N33" i="44" s="1"/>
  <c r="AX7" i="28"/>
  <c r="AX9" i="28" s="1"/>
  <c r="AB9" i="28"/>
  <c r="AB136" i="28" s="1"/>
  <c r="AB142" i="28"/>
  <c r="O37" i="44"/>
  <c r="O33" i="44" s="1"/>
  <c r="O69" i="44"/>
  <c r="O75" i="44" s="1"/>
  <c r="C32" i="36"/>
  <c r="F32" i="36" s="1"/>
  <c r="F32" i="33"/>
  <c r="C57" i="36"/>
  <c r="C56" i="33"/>
  <c r="CP8" i="40"/>
  <c r="CB189" i="40"/>
  <c r="CI35" i="40"/>
  <c r="CH35" i="40" s="1"/>
  <c r="BT35" i="40"/>
  <c r="BS35" i="40" s="1"/>
  <c r="CG35" i="40" s="1"/>
  <c r="CJ79" i="40"/>
  <c r="AZ86" i="40"/>
  <c r="BM95" i="40"/>
  <c r="BG153" i="40"/>
  <c r="AR153" i="40"/>
  <c r="BQ159" i="40"/>
  <c r="BF159" i="40" s="1"/>
  <c r="CS165" i="40"/>
  <c r="CH165" i="40" s="1"/>
  <c r="CS166" i="40"/>
  <c r="CH166" i="40" s="1"/>
  <c r="Y43" i="43"/>
  <c r="X47" i="43"/>
  <c r="AA43" i="43"/>
  <c r="AE283" i="45"/>
  <c r="AE6" i="28"/>
  <c r="AT38" i="43"/>
  <c r="AW9" i="28"/>
  <c r="AC142" i="28"/>
  <c r="BC85" i="29"/>
  <c r="BE85" i="29"/>
  <c r="V197" i="40" l="1"/>
  <c r="U197" i="40" s="1"/>
  <c r="V200" i="40"/>
  <c r="CS191" i="40"/>
  <c r="BQ191" i="40"/>
  <c r="BJ191" i="40"/>
  <c r="BJ193" i="40" s="1"/>
  <c r="BJ189" i="40"/>
  <c r="AQ93" i="40"/>
  <c r="BE93" i="40" s="1"/>
  <c r="BS93" i="40"/>
  <c r="CG93" i="40" s="1"/>
  <c r="S93" i="40"/>
  <c r="BR189" i="40"/>
  <c r="BR191" i="40" s="1"/>
  <c r="BR193" i="40" s="1"/>
  <c r="BR10" i="40"/>
  <c r="BR183" i="40" s="1"/>
  <c r="BR195" i="40" s="1"/>
  <c r="CQ183" i="40"/>
  <c r="CQ195" i="40" s="1"/>
  <c r="BS79" i="40"/>
  <c r="CG79" i="40" s="1"/>
  <c r="BY195" i="40"/>
  <c r="CH170" i="40"/>
  <c r="CK181" i="40"/>
  <c r="CK183" i="40" s="1"/>
  <c r="CK195" i="40" s="1"/>
  <c r="BP189" i="40"/>
  <c r="BP191" i="40" s="1"/>
  <c r="BP193" i="40" s="1"/>
  <c r="BP10" i="40"/>
  <c r="BL191" i="40"/>
  <c r="BL193" i="40" s="1"/>
  <c r="S97" i="40"/>
  <c r="BS97" i="40"/>
  <c r="CG97" i="40" s="1"/>
  <c r="BL189" i="40"/>
  <c r="BL10" i="40"/>
  <c r="BL183" i="40" s="1"/>
  <c r="BL195" i="40" s="1"/>
  <c r="AY6" i="43"/>
  <c r="AZ3" i="43"/>
  <c r="AZ6" i="43" s="1"/>
  <c r="CH4" i="40"/>
  <c r="S81" i="40"/>
  <c r="AQ81" i="40"/>
  <c r="BE81" i="40" s="1"/>
  <c r="BS81" i="40"/>
  <c r="CG81" i="40" s="1"/>
  <c r="AQ185" i="40"/>
  <c r="BE185" i="40" s="1"/>
  <c r="Y73" i="43"/>
  <c r="N12" i="44"/>
  <c r="N66" i="44" s="1"/>
  <c r="M12" i="44"/>
  <c r="Y65" i="43"/>
  <c r="BF149" i="40"/>
  <c r="S170" i="40"/>
  <c r="AQ170" i="40"/>
  <c r="BE170" i="40" s="1"/>
  <c r="BS170" i="40"/>
  <c r="CG170" i="40" s="1"/>
  <c r="BH189" i="40"/>
  <c r="BH10" i="40"/>
  <c r="CH100" i="40"/>
  <c r="U188" i="40"/>
  <c r="S72" i="40"/>
  <c r="S188" i="40" s="1"/>
  <c r="AQ10" i="40"/>
  <c r="BE10" i="40" s="1"/>
  <c r="U86" i="40"/>
  <c r="U87" i="40" s="1"/>
  <c r="CI181" i="40"/>
  <c r="CN189" i="40"/>
  <c r="CN191" i="40" s="1"/>
  <c r="CN193" i="40" s="1"/>
  <c r="CN10" i="40"/>
  <c r="CN183" i="40" s="1"/>
  <c r="CN195" i="40" s="1"/>
  <c r="BJ146" i="40"/>
  <c r="BJ183" i="40" s="1"/>
  <c r="BJ195" i="40" s="1"/>
  <c r="BF4" i="40"/>
  <c r="CH91" i="40"/>
  <c r="CQ189" i="40"/>
  <c r="S9" i="40"/>
  <c r="AQ9" i="40"/>
  <c r="BE9" i="40" s="1"/>
  <c r="BS9" i="40"/>
  <c r="CG9" i="40" s="1"/>
  <c r="X183" i="40"/>
  <c r="CM189" i="40"/>
  <c r="CM191" i="40" s="1"/>
  <c r="CM193" i="40" s="1"/>
  <c r="CM10" i="40"/>
  <c r="W35" i="44"/>
  <c r="W34" i="44" s="1"/>
  <c r="Q22" i="44"/>
  <c r="Q12" i="44" s="1"/>
  <c r="BS149" i="40"/>
  <c r="CG149" i="40" s="1"/>
  <c r="U185" i="40"/>
  <c r="U191" i="40" s="1"/>
  <c r="U193" i="40" s="1"/>
  <c r="U196" i="40" s="1"/>
  <c r="O196" i="40" s="1"/>
  <c r="BS91" i="40"/>
  <c r="CG91" i="40" s="1"/>
  <c r="S91" i="40"/>
  <c r="AQ91" i="40"/>
  <c r="BE91" i="40" s="1"/>
  <c r="AI190" i="40"/>
  <c r="AI21" i="40"/>
  <c r="AI183" i="40" s="1"/>
  <c r="U189" i="40"/>
  <c r="BS189" i="40" s="1"/>
  <c r="CG189" i="40" s="1"/>
  <c r="U10" i="40"/>
  <c r="U11" i="40" s="1"/>
  <c r="S4" i="40"/>
  <c r="BS4" i="40"/>
  <c r="CG4" i="40" s="1"/>
  <c r="AQ4" i="40"/>
  <c r="BE4" i="40" s="1"/>
  <c r="W37" i="44"/>
  <c r="BF150" i="40"/>
  <c r="CP21" i="40"/>
  <c r="T22" i="44"/>
  <c r="T12" i="44" s="1"/>
  <c r="AA73" i="43"/>
  <c r="S192" i="40"/>
  <c r="BD195" i="40"/>
  <c r="CK186" i="40"/>
  <c r="AQ97" i="40"/>
  <c r="BE97" i="40" s="1"/>
  <c r="U190" i="40"/>
  <c r="BS190" i="40" s="1"/>
  <c r="CG190" i="40" s="1"/>
  <c r="U21" i="40"/>
  <c r="U22" i="40" s="1"/>
  <c r="AQ12" i="40"/>
  <c r="BE12" i="40" s="1"/>
  <c r="BG181" i="40"/>
  <c r="BS84" i="40"/>
  <c r="CG84" i="40" s="1"/>
  <c r="AQ84" i="40"/>
  <c r="BE84" i="40" s="1"/>
  <c r="S84" i="40"/>
  <c r="CO189" i="40"/>
  <c r="CO10" i="40"/>
  <c r="CR189" i="40"/>
  <c r="CR191" i="40" s="1"/>
  <c r="CR193" i="40" s="1"/>
  <c r="CR10" i="40"/>
  <c r="CR183" i="40" s="1"/>
  <c r="CL195" i="40"/>
  <c r="S83" i="40"/>
  <c r="BS83" i="40"/>
  <c r="CG83" i="40" s="1"/>
  <c r="AQ83" i="40"/>
  <c r="BE83" i="40" s="1"/>
  <c r="BS188" i="40"/>
  <c r="CG188" i="40" s="1"/>
  <c r="CJ146" i="40"/>
  <c r="BK186" i="40"/>
  <c r="BK191" i="40" s="1"/>
  <c r="BK193" i="40" s="1"/>
  <c r="H75" i="44"/>
  <c r="H77" i="44" s="1"/>
  <c r="G79" i="44" s="1"/>
  <c r="U33" i="44"/>
  <c r="AC65" i="43"/>
  <c r="P77" i="44"/>
  <c r="U150" i="40"/>
  <c r="U151" i="40" s="1"/>
  <c r="CM146" i="40"/>
  <c r="CM183" i="40" s="1"/>
  <c r="BP183" i="40"/>
  <c r="U186" i="40"/>
  <c r="AQ186" i="40" s="1"/>
  <c r="BE186" i="40" s="1"/>
  <c r="BS96" i="40"/>
  <c r="CG96" i="40" s="1"/>
  <c r="S96" i="40"/>
  <c r="S186" i="40" s="1"/>
  <c r="AQ96" i="40"/>
  <c r="BE96" i="40" s="1"/>
  <c r="CT189" i="40"/>
  <c r="CT191" i="40" s="1"/>
  <c r="CT193" i="40" s="1"/>
  <c r="CT10" i="40"/>
  <c r="BK146" i="40"/>
  <c r="BK183" i="40" s="1"/>
  <c r="BK195" i="40" s="1"/>
  <c r="AQ149" i="40"/>
  <c r="BE149" i="40" s="1"/>
  <c r="AQ5" i="40"/>
  <c r="BE5" i="40" s="1"/>
  <c r="S5" i="40"/>
  <c r="BS5" i="40"/>
  <c r="CG5" i="40" s="1"/>
  <c r="CS10" i="40"/>
  <c r="BS7" i="40"/>
  <c r="CG7" i="40" s="1"/>
  <c r="S7" i="40"/>
  <c r="AQ7" i="40"/>
  <c r="BE7" i="40" s="1"/>
  <c r="CJ189" i="40"/>
  <c r="CJ10" i="40"/>
  <c r="U182" i="40"/>
  <c r="S56" i="44"/>
  <c r="W20" i="44"/>
  <c r="BI189" i="40"/>
  <c r="BI10" i="40"/>
  <c r="CH146" i="40"/>
  <c r="AQ79" i="40"/>
  <c r="BE79" i="40" s="1"/>
  <c r="BF10" i="40"/>
  <c r="L59" i="44"/>
  <c r="L56" i="44" s="1"/>
  <c r="L66" i="44" s="1"/>
  <c r="T73" i="44"/>
  <c r="AA65" i="43"/>
  <c r="M77" i="44"/>
  <c r="BZ195" i="40"/>
  <c r="CL191" i="40"/>
  <c r="CL193" i="40" s="1"/>
  <c r="U146" i="40"/>
  <c r="U147" i="40" s="1"/>
  <c r="S88" i="40"/>
  <c r="CT183" i="40"/>
  <c r="CK189" i="40"/>
  <c r="CK10" i="40"/>
  <c r="BQ189" i="40"/>
  <c r="BQ10" i="40"/>
  <c r="G38" i="33"/>
  <c r="AR150" i="40"/>
  <c r="X75" i="43"/>
  <c r="X80" i="43" s="1"/>
  <c r="G24" i="33"/>
  <c r="BA185" i="40"/>
  <c r="BA191" i="40" s="1"/>
  <c r="BA193" i="40" s="1"/>
  <c r="BA195" i="40" s="1"/>
  <c r="F75" i="44"/>
  <c r="F77" i="44" s="1"/>
  <c r="AY191" i="40"/>
  <c r="AY193" i="40" s="1"/>
  <c r="AY195" i="40" s="1"/>
  <c r="G18" i="33"/>
  <c r="CB183" i="40"/>
  <c r="CB195" i="40" s="1"/>
  <c r="AT195" i="40"/>
  <c r="BM86" i="40"/>
  <c r="F66" i="44"/>
  <c r="BC193" i="40"/>
  <c r="BC195" i="40" s="1"/>
  <c r="J28" i="33"/>
  <c r="M28" i="33" s="1"/>
  <c r="BG189" i="40"/>
  <c r="BF189" i="40" s="1"/>
  <c r="J36" i="33"/>
  <c r="M36" i="33" s="1"/>
  <c r="M34" i="33" s="1"/>
  <c r="AC47" i="43"/>
  <c r="C37" i="36"/>
  <c r="C33" i="36" s="1"/>
  <c r="BT21" i="40"/>
  <c r="BS21" i="40" s="1"/>
  <c r="CG21" i="40" s="1"/>
  <c r="BG10" i="40"/>
  <c r="BN190" i="40"/>
  <c r="BF190" i="40" s="1"/>
  <c r="AN75" i="29"/>
  <c r="T38" i="43"/>
  <c r="T75" i="43" s="1"/>
  <c r="U25" i="43"/>
  <c r="U38" i="43" s="1"/>
  <c r="AY52" i="43"/>
  <c r="AZ49" i="43"/>
  <c r="AZ52" i="43" s="1"/>
  <c r="AL83" i="29"/>
  <c r="AL46" i="29"/>
  <c r="AZ67" i="43"/>
  <c r="AZ73" i="43" s="1"/>
  <c r="AY73" i="43"/>
  <c r="BQ55" i="43"/>
  <c r="BQ65" i="43" s="1"/>
  <c r="BM65" i="43"/>
  <c r="R4" i="44"/>
  <c r="R3" i="44" s="1"/>
  <c r="AL64" i="29"/>
  <c r="L72" i="44"/>
  <c r="W24" i="44"/>
  <c r="W72" i="44" s="1"/>
  <c r="L22" i="44"/>
  <c r="L12" i="44" s="1"/>
  <c r="BQ67" i="43"/>
  <c r="BM73" i="43"/>
  <c r="W58" i="44"/>
  <c r="W57" i="44" s="1"/>
  <c r="AT32" i="29"/>
  <c r="AU32" i="29" s="1"/>
  <c r="K23" i="44"/>
  <c r="AL25" i="29"/>
  <c r="AT6" i="29"/>
  <c r="AU3" i="29"/>
  <c r="AU6" i="29" s="1"/>
  <c r="AS65" i="43"/>
  <c r="AU54" i="43"/>
  <c r="AU65" i="43" s="1"/>
  <c r="AY65" i="43"/>
  <c r="AZ54" i="43"/>
  <c r="AZ65" i="43" s="1"/>
  <c r="AR93" i="29"/>
  <c r="AW93" i="29" s="1"/>
  <c r="O66" i="44"/>
  <c r="W40" i="44"/>
  <c r="AA47" i="43"/>
  <c r="Y47" i="43"/>
  <c r="T59" i="44"/>
  <c r="T56" i="44" s="1"/>
  <c r="G48" i="44"/>
  <c r="G66" i="44" s="1"/>
  <c r="I76" i="44"/>
  <c r="I52" i="44"/>
  <c r="I48" i="44" s="1"/>
  <c r="W75" i="43"/>
  <c r="W80" i="43" s="1"/>
  <c r="AB80" i="43" s="1"/>
  <c r="Y38" i="43"/>
  <c r="AC38" i="43"/>
  <c r="U75" i="43"/>
  <c r="AY38" i="43"/>
  <c r="AZ15" i="43"/>
  <c r="AZ38" i="43" s="1"/>
  <c r="R74" i="44"/>
  <c r="R9" i="44"/>
  <c r="R8" i="44" s="1"/>
  <c r="H12" i="44"/>
  <c r="H66" i="44" s="1"/>
  <c r="K56" i="44"/>
  <c r="BL70" i="29"/>
  <c r="BL72" i="29" s="1"/>
  <c r="BL46" i="29"/>
  <c r="AW91" i="29"/>
  <c r="S10" i="44"/>
  <c r="BH84" i="29"/>
  <c r="BL8" i="29"/>
  <c r="BL13" i="29" s="1"/>
  <c r="BH13" i="29"/>
  <c r="BQ71" i="43"/>
  <c r="BE73" i="43"/>
  <c r="BE75" i="43" s="1"/>
  <c r="BH83" i="29"/>
  <c r="AU13" i="29"/>
  <c r="AQ24" i="43"/>
  <c r="AF38" i="43"/>
  <c r="Q69" i="44"/>
  <c r="Q75" i="44" s="1"/>
  <c r="Q77" i="44" s="1"/>
  <c r="Q37" i="44"/>
  <c r="Q33" i="44" s="1"/>
  <c r="R14" i="44"/>
  <c r="W76" i="44"/>
  <c r="W77" i="44" s="1"/>
  <c r="W52" i="44"/>
  <c r="T44" i="44"/>
  <c r="T43" i="44" s="1"/>
  <c r="W45" i="44"/>
  <c r="W44" i="44" s="1"/>
  <c r="W43" i="44" s="1"/>
  <c r="W73" i="44"/>
  <c r="W4" i="44"/>
  <c r="W3" i="44" s="1"/>
  <c r="W50" i="44"/>
  <c r="W49" i="44" s="1"/>
  <c r="K49" i="44"/>
  <c r="K48" i="44" s="1"/>
  <c r="AY13" i="43"/>
  <c r="AZ8" i="43"/>
  <c r="AZ13" i="43" s="1"/>
  <c r="BH74" i="29"/>
  <c r="BH76" i="29" s="1"/>
  <c r="AF65" i="43"/>
  <c r="AQ54" i="43"/>
  <c r="AQ65" i="43" s="1"/>
  <c r="AU15" i="29"/>
  <c r="AU38" i="29" s="1"/>
  <c r="AU75" i="29" s="1"/>
  <c r="O77" i="44"/>
  <c r="P59" i="44"/>
  <c r="P56" i="44" s="1"/>
  <c r="P48" i="44"/>
  <c r="V77" i="44"/>
  <c r="M66" i="44"/>
  <c r="AZ40" i="43"/>
  <c r="AZ47" i="43" s="1"/>
  <c r="AY47" i="43"/>
  <c r="BF47" i="43"/>
  <c r="BF75" i="43" s="1"/>
  <c r="BQ42" i="43"/>
  <c r="BQ47" i="43" s="1"/>
  <c r="U75" i="44"/>
  <c r="V33" i="44"/>
  <c r="V66" i="44" s="1"/>
  <c r="AU47" i="43"/>
  <c r="AZ42" i="43"/>
  <c r="U76" i="44"/>
  <c r="U52" i="44"/>
  <c r="U48" i="44" s="1"/>
  <c r="U66" i="44" s="1"/>
  <c r="I12" i="44"/>
  <c r="I74" i="44"/>
  <c r="I9" i="44"/>
  <c r="I8" i="44" s="1"/>
  <c r="AO65" i="43"/>
  <c r="AO75" i="43" s="1"/>
  <c r="AQ56" i="43"/>
  <c r="AA38" i="43"/>
  <c r="AR97" i="29"/>
  <c r="AM38" i="43"/>
  <c r="AQ15" i="43"/>
  <c r="AQ38" i="43" s="1"/>
  <c r="AR75" i="29"/>
  <c r="X96" i="29"/>
  <c r="AN31" i="29"/>
  <c r="AN38" i="29" s="1"/>
  <c r="X38" i="29"/>
  <c r="X74" i="29" s="1"/>
  <c r="AT31" i="29"/>
  <c r="AU31" i="29" s="1"/>
  <c r="AM31" i="29"/>
  <c r="AM38" i="29" s="1"/>
  <c r="S37" i="44"/>
  <c r="S69" i="44"/>
  <c r="S75" i="44" s="1"/>
  <c r="S77" i="44" s="1"/>
  <c r="W62" i="44"/>
  <c r="W59" i="44" s="1"/>
  <c r="T71" i="44"/>
  <c r="W18" i="44"/>
  <c r="W17" i="44" s="1"/>
  <c r="V73" i="44"/>
  <c r="V4" i="44"/>
  <c r="V3" i="44" s="1"/>
  <c r="AM13" i="43"/>
  <c r="AQ8" i="43"/>
  <c r="AQ13" i="43" s="1"/>
  <c r="K21" i="44"/>
  <c r="AA81" i="29"/>
  <c r="AA85" i="29" s="1"/>
  <c r="AL24" i="29"/>
  <c r="AL81" i="29" s="1"/>
  <c r="AL85" i="29" s="1"/>
  <c r="AA38" i="29"/>
  <c r="AA74" i="29" s="1"/>
  <c r="AA76" i="29" s="1"/>
  <c r="BL64" i="29"/>
  <c r="S73" i="44"/>
  <c r="S34" i="44"/>
  <c r="S33" i="44" s="1"/>
  <c r="AR96" i="29"/>
  <c r="AU97" i="29" s="1"/>
  <c r="AT46" i="29"/>
  <c r="AT13" i="29"/>
  <c r="J54" i="33"/>
  <c r="M54" i="33" s="1"/>
  <c r="BN21" i="40"/>
  <c r="J53" i="33"/>
  <c r="M53" i="33" s="1"/>
  <c r="BF79" i="40"/>
  <c r="C33" i="33"/>
  <c r="CP190" i="40"/>
  <c r="CH20" i="40"/>
  <c r="F22" i="36"/>
  <c r="C55" i="33"/>
  <c r="BF178" i="40"/>
  <c r="BF181" i="40" s="1"/>
  <c r="BF21" i="40"/>
  <c r="BG150" i="40"/>
  <c r="F37" i="33"/>
  <c r="G31" i="33"/>
  <c r="C12" i="33"/>
  <c r="F73" i="33"/>
  <c r="AU195" i="40"/>
  <c r="F69" i="33"/>
  <c r="CH19" i="40"/>
  <c r="AR188" i="40"/>
  <c r="AQ188" i="40" s="1"/>
  <c r="BE188" i="40" s="1"/>
  <c r="G35" i="33"/>
  <c r="G34" i="33" s="1"/>
  <c r="G15" i="33"/>
  <c r="CI190" i="40"/>
  <c r="J10" i="33"/>
  <c r="M10" i="33" s="1"/>
  <c r="CP189" i="40"/>
  <c r="BO95" i="40"/>
  <c r="BO185" i="40" s="1"/>
  <c r="BO191" i="40" s="1"/>
  <c r="BO193" i="40" s="1"/>
  <c r="F34" i="33"/>
  <c r="AO75" i="29"/>
  <c r="CP188" i="40"/>
  <c r="AS191" i="40"/>
  <c r="AR191" i="40" s="1"/>
  <c r="AQ191" i="40" s="1"/>
  <c r="BE191" i="40" s="1"/>
  <c r="BV183" i="40"/>
  <c r="BV195" i="40" s="1"/>
  <c r="BH181" i="40"/>
  <c r="AS183" i="40"/>
  <c r="BT10" i="40"/>
  <c r="BS10" i="40" s="1"/>
  <c r="CG10" i="40" s="1"/>
  <c r="F17" i="36"/>
  <c r="BN188" i="40"/>
  <c r="BF73" i="40"/>
  <c r="C47" i="33"/>
  <c r="J6" i="33"/>
  <c r="M6" i="33" s="1"/>
  <c r="G6" i="33"/>
  <c r="BI146" i="40"/>
  <c r="BI183" i="40" s="1"/>
  <c r="BI185" i="40"/>
  <c r="BI191" i="40" s="1"/>
  <c r="BI193" i="40" s="1"/>
  <c r="AR181" i="40"/>
  <c r="AQ181" i="40" s="1"/>
  <c r="BE181" i="40" s="1"/>
  <c r="AQ178" i="40"/>
  <c r="BE178" i="40" s="1"/>
  <c r="G64" i="33"/>
  <c r="J64" i="33"/>
  <c r="M64" i="33" s="1"/>
  <c r="J27" i="33"/>
  <c r="M27" i="33" s="1"/>
  <c r="G27" i="33"/>
  <c r="J7" i="33"/>
  <c r="M7" i="33" s="1"/>
  <c r="G7" i="33"/>
  <c r="F71" i="36"/>
  <c r="J23" i="33"/>
  <c r="M23" i="33" s="1"/>
  <c r="J14" i="33"/>
  <c r="M14" i="33" s="1"/>
  <c r="I70" i="44"/>
  <c r="AE168" i="45"/>
  <c r="G46" i="33"/>
  <c r="G43" i="33" s="1"/>
  <c r="G42" i="33" s="1"/>
  <c r="J46" i="33"/>
  <c r="M46" i="33" s="1"/>
  <c r="AR86" i="29"/>
  <c r="AS93" i="29" s="1"/>
  <c r="AO93" i="29" s="1"/>
  <c r="AE284" i="45"/>
  <c r="BG167" i="40"/>
  <c r="BF153" i="40"/>
  <c r="I69" i="44"/>
  <c r="I75" i="44" s="1"/>
  <c r="I37" i="44"/>
  <c r="I33" i="44" s="1"/>
  <c r="AE219" i="45" s="1"/>
  <c r="AE159" i="45"/>
  <c r="CH148" i="40"/>
  <c r="CH150" i="40" s="1"/>
  <c r="CI150" i="40"/>
  <c r="AR86" i="40"/>
  <c r="AQ23" i="40"/>
  <c r="BE23" i="40" s="1"/>
  <c r="J52" i="33"/>
  <c r="F51" i="33"/>
  <c r="F47" i="33" s="1"/>
  <c r="F75" i="33"/>
  <c r="G52" i="33"/>
  <c r="CH167" i="40"/>
  <c r="G25" i="33"/>
  <c r="J25" i="33"/>
  <c r="J61" i="33"/>
  <c r="M61" i="33" s="1"/>
  <c r="G61" i="33"/>
  <c r="AS198" i="40"/>
  <c r="AQ187" i="40"/>
  <c r="BE187" i="40" s="1"/>
  <c r="BN186" i="40"/>
  <c r="BN191" i="40" s="1"/>
  <c r="BN193" i="40" s="1"/>
  <c r="BN181" i="40"/>
  <c r="BS153" i="40"/>
  <c r="CG153" i="40" s="1"/>
  <c r="BT167" i="40"/>
  <c r="BS167" i="40" s="1"/>
  <c r="CG167" i="40" s="1"/>
  <c r="BF80" i="40"/>
  <c r="BH86" i="40"/>
  <c r="J5" i="33"/>
  <c r="F4" i="33"/>
  <c r="F3" i="33" s="1"/>
  <c r="G5" i="33"/>
  <c r="F72" i="33"/>
  <c r="BF146" i="40"/>
  <c r="BM146" i="40"/>
  <c r="BM185" i="40"/>
  <c r="BM191" i="40" s="1"/>
  <c r="BM193" i="40" s="1"/>
  <c r="J32" i="33"/>
  <c r="G32" i="33"/>
  <c r="CP186" i="40"/>
  <c r="CP191" i="40" s="1"/>
  <c r="CP193" i="40" s="1"/>
  <c r="CP181" i="40"/>
  <c r="CI187" i="40"/>
  <c r="CH67" i="40"/>
  <c r="BF23" i="40"/>
  <c r="BG86" i="40"/>
  <c r="AQ88" i="40"/>
  <c r="BE88" i="40" s="1"/>
  <c r="AR146" i="40"/>
  <c r="AR190" i="40"/>
  <c r="F49" i="36"/>
  <c r="C48" i="36"/>
  <c r="C75" i="36"/>
  <c r="C51" i="36"/>
  <c r="F52" i="36"/>
  <c r="CS167" i="40"/>
  <c r="BG187" i="40"/>
  <c r="C43" i="36"/>
  <c r="C42" i="36" s="1"/>
  <c r="F45" i="36"/>
  <c r="F43" i="36" s="1"/>
  <c r="F42" i="36" s="1"/>
  <c r="G40" i="33"/>
  <c r="J40" i="33"/>
  <c r="C71" i="36"/>
  <c r="M18" i="33"/>
  <c r="BT186" i="40"/>
  <c r="BS186" i="40" s="1"/>
  <c r="CG186" i="40" s="1"/>
  <c r="BT181" i="40"/>
  <c r="BS178" i="40"/>
  <c r="CG178" i="40" s="1"/>
  <c r="AZ183" i="40"/>
  <c r="AZ195" i="40" s="1"/>
  <c r="BU183" i="40"/>
  <c r="BH188" i="40"/>
  <c r="BF188" i="40" s="1"/>
  <c r="C74" i="33"/>
  <c r="C76" i="33" s="1"/>
  <c r="G41" i="33"/>
  <c r="F68" i="33"/>
  <c r="J41" i="33"/>
  <c r="G11" i="33"/>
  <c r="G9" i="33" s="1"/>
  <c r="G8" i="33" s="1"/>
  <c r="J11" i="33"/>
  <c r="M11" i="33" s="1"/>
  <c r="BQ192" i="40"/>
  <c r="BF192" i="40" s="1"/>
  <c r="BQ167" i="40"/>
  <c r="BQ183" i="40" s="1"/>
  <c r="BF157" i="40"/>
  <c r="CA195" i="40"/>
  <c r="BT86" i="40"/>
  <c r="BS24" i="40"/>
  <c r="CG24" i="40" s="1"/>
  <c r="J19" i="33"/>
  <c r="M19" i="33" s="1"/>
  <c r="G19" i="33"/>
  <c r="F58" i="33"/>
  <c r="F55" i="33" s="1"/>
  <c r="C30" i="36"/>
  <c r="F31" i="36"/>
  <c r="BT192" i="40"/>
  <c r="BS192" i="40" s="1"/>
  <c r="CG192" i="40" s="1"/>
  <c r="CE193" i="40"/>
  <c r="CE195" i="40" s="1"/>
  <c r="CH40" i="40"/>
  <c r="CP86" i="40"/>
  <c r="C69" i="36"/>
  <c r="F39" i="36"/>
  <c r="F37" i="36" s="1"/>
  <c r="F33" i="36" s="1"/>
  <c r="CP10" i="40"/>
  <c r="BN189" i="40"/>
  <c r="BN10" i="40"/>
  <c r="F68" i="36"/>
  <c r="C22" i="36"/>
  <c r="G29" i="33"/>
  <c r="J29" i="33"/>
  <c r="M29" i="33" s="1"/>
  <c r="F22" i="33"/>
  <c r="CJ181" i="40"/>
  <c r="CJ186" i="40"/>
  <c r="CH186" i="40" s="1"/>
  <c r="CH178" i="40"/>
  <c r="CH181" i="40" s="1"/>
  <c r="CH24" i="40"/>
  <c r="CI86" i="40"/>
  <c r="C58" i="36"/>
  <c r="F60" i="36"/>
  <c r="F58" i="36" s="1"/>
  <c r="J21" i="33"/>
  <c r="G21" i="33"/>
  <c r="G70" i="33" s="1"/>
  <c r="J16" i="33"/>
  <c r="M16" i="33" s="1"/>
  <c r="G16" i="33"/>
  <c r="C17" i="36"/>
  <c r="F9" i="33"/>
  <c r="F8" i="33" s="1"/>
  <c r="AQ153" i="40"/>
  <c r="BE153" i="40" s="1"/>
  <c r="AR167" i="40"/>
  <c r="CJ188" i="40"/>
  <c r="CH188" i="40" s="1"/>
  <c r="CJ86" i="40"/>
  <c r="CH79" i="40"/>
  <c r="F57" i="36"/>
  <c r="F56" i="36" s="1"/>
  <c r="C56" i="36"/>
  <c r="BU191" i="40"/>
  <c r="BT150" i="40"/>
  <c r="BS148" i="40"/>
  <c r="CG148" i="40" s="1"/>
  <c r="CI10" i="40"/>
  <c r="CI189" i="40"/>
  <c r="CH189" i="40" s="1"/>
  <c r="CH6" i="40"/>
  <c r="CH10" i="40" s="1"/>
  <c r="AR21" i="40"/>
  <c r="AQ19" i="40"/>
  <c r="BE19" i="40" s="1"/>
  <c r="J48" i="33"/>
  <c r="M49" i="33"/>
  <c r="M48" i="33" s="1"/>
  <c r="F71" i="33"/>
  <c r="CS192" i="40"/>
  <c r="CH192" i="40" s="1"/>
  <c r="BN86" i="40"/>
  <c r="C68" i="36"/>
  <c r="M60" i="33"/>
  <c r="F30" i="33"/>
  <c r="C72" i="36"/>
  <c r="BT146" i="40"/>
  <c r="BS88" i="40"/>
  <c r="CG88" i="40" s="1"/>
  <c r="C70" i="36"/>
  <c r="F70" i="33"/>
  <c r="BG146" i="40"/>
  <c r="CO188" i="40"/>
  <c r="CO86" i="40"/>
  <c r="M44" i="33"/>
  <c r="F17" i="33"/>
  <c r="F13" i="33"/>
  <c r="Y75" i="43" l="1"/>
  <c r="Y81" i="43" s="1"/>
  <c r="BS146" i="40"/>
  <c r="CG146" i="40" s="1"/>
  <c r="BS150" i="40"/>
  <c r="CG150" i="40" s="1"/>
  <c r="AQ190" i="40"/>
  <c r="BE190" i="40" s="1"/>
  <c r="U183" i="40"/>
  <c r="S183" i="40" s="1"/>
  <c r="W33" i="44"/>
  <c r="AQ189" i="40"/>
  <c r="BE189" i="40" s="1"/>
  <c r="T75" i="44"/>
  <c r="T77" i="44" s="1"/>
  <c r="U184" i="40"/>
  <c r="AQ75" i="43"/>
  <c r="Q66" i="44"/>
  <c r="S185" i="40"/>
  <c r="S191" i="40" s="1"/>
  <c r="S193" i="40" s="1"/>
  <c r="AQ146" i="40"/>
  <c r="BE146" i="40" s="1"/>
  <c r="CO183" i="40"/>
  <c r="CO195" i="40" s="1"/>
  <c r="BS86" i="40"/>
  <c r="CG86" i="40" s="1"/>
  <c r="CS183" i="40"/>
  <c r="BP195" i="40"/>
  <c r="T66" i="44"/>
  <c r="AQ150" i="40"/>
  <c r="BE150" i="40" s="1"/>
  <c r="AQ21" i="40"/>
  <c r="BE21" i="40" s="1"/>
  <c r="CM195" i="40"/>
  <c r="S189" i="40"/>
  <c r="AQ86" i="40"/>
  <c r="BE86" i="40" s="1"/>
  <c r="AF75" i="43"/>
  <c r="CT195" i="40"/>
  <c r="BS185" i="40"/>
  <c r="CG185" i="40" s="1"/>
  <c r="CR195" i="40"/>
  <c r="G68" i="33"/>
  <c r="F33" i="33"/>
  <c r="I77" i="44"/>
  <c r="S76" i="43" s="1"/>
  <c r="G30" i="33"/>
  <c r="G71" i="33"/>
  <c r="CH190" i="40"/>
  <c r="BM183" i="40"/>
  <c r="BM195" i="40" s="1"/>
  <c r="BO146" i="40"/>
  <c r="BO183" i="40" s="1"/>
  <c r="BO195" i="40" s="1"/>
  <c r="J34" i="33"/>
  <c r="AA96" i="29"/>
  <c r="X99" i="29"/>
  <c r="X101" i="29" s="1"/>
  <c r="U77" i="44"/>
  <c r="BQ73" i="43"/>
  <c r="BQ75" i="43" s="1"/>
  <c r="AL74" i="29"/>
  <c r="AL76" i="29" s="1"/>
  <c r="BL74" i="29"/>
  <c r="BL76" i="29" s="1"/>
  <c r="AL38" i="29"/>
  <c r="W56" i="44"/>
  <c r="W21" i="44"/>
  <c r="W71" i="44" s="1"/>
  <c r="K17" i="44"/>
  <c r="K71" i="44"/>
  <c r="K75" i="44" s="1"/>
  <c r="K77" i="44" s="1"/>
  <c r="W48" i="44"/>
  <c r="R13" i="44"/>
  <c r="R12" i="44" s="1"/>
  <c r="R66" i="44" s="1"/>
  <c r="W14" i="44"/>
  <c r="W13" i="44" s="1"/>
  <c r="S74" i="44"/>
  <c r="S9" i="44"/>
  <c r="S8" i="44" s="1"/>
  <c r="S66" i="44" s="1"/>
  <c r="W10" i="44"/>
  <c r="R73" i="44"/>
  <c r="R75" i="44" s="1"/>
  <c r="R77" i="44" s="1"/>
  <c r="AM75" i="43"/>
  <c r="P66" i="44"/>
  <c r="AT38" i="29"/>
  <c r="AT75" i="29" s="1"/>
  <c r="K22" i="44"/>
  <c r="W23" i="44"/>
  <c r="W22" i="44" s="1"/>
  <c r="BM75" i="43"/>
  <c r="G58" i="33"/>
  <c r="G55" i="33" s="1"/>
  <c r="CH21" i="40"/>
  <c r="BQ193" i="40"/>
  <c r="BQ195" i="40" s="1"/>
  <c r="F12" i="33"/>
  <c r="C65" i="33"/>
  <c r="C55" i="36"/>
  <c r="BH183" i="40"/>
  <c r="BH195" i="40" s="1"/>
  <c r="BI195" i="40"/>
  <c r="G13" i="33"/>
  <c r="G17" i="33"/>
  <c r="G73" i="33"/>
  <c r="J43" i="33"/>
  <c r="J42" i="33" s="1"/>
  <c r="J22" i="33"/>
  <c r="J58" i="33"/>
  <c r="J55" i="33" s="1"/>
  <c r="AS193" i="40"/>
  <c r="AR193" i="40" s="1"/>
  <c r="AQ193" i="40" s="1"/>
  <c r="BE193" i="40" s="1"/>
  <c r="CS193" i="40"/>
  <c r="BF86" i="40"/>
  <c r="M43" i="33"/>
  <c r="M42" i="33" s="1"/>
  <c r="C12" i="36"/>
  <c r="J73" i="33"/>
  <c r="CI183" i="40"/>
  <c r="I66" i="44"/>
  <c r="AE286" i="45" s="1"/>
  <c r="CH86" i="40"/>
  <c r="G37" i="33"/>
  <c r="G33" i="33" s="1"/>
  <c r="G69" i="33"/>
  <c r="G22" i="33"/>
  <c r="C74" i="36"/>
  <c r="C76" i="36" s="1"/>
  <c r="F30" i="36"/>
  <c r="F12" i="36" s="1"/>
  <c r="F72" i="36"/>
  <c r="M21" i="33"/>
  <c r="M70" i="33" s="1"/>
  <c r="J70" i="33"/>
  <c r="J17" i="33"/>
  <c r="CP183" i="40"/>
  <c r="CP195" i="40" s="1"/>
  <c r="BN183" i="40"/>
  <c r="BN195" i="40" s="1"/>
  <c r="M41" i="33"/>
  <c r="M68" i="33" s="1"/>
  <c r="J68" i="33"/>
  <c r="F75" i="36"/>
  <c r="F51" i="36"/>
  <c r="J72" i="33"/>
  <c r="J4" i="33"/>
  <c r="J3" i="33" s="1"/>
  <c r="M5" i="33"/>
  <c r="F74" i="33"/>
  <c r="F76" i="33" s="1"/>
  <c r="BT183" i="40"/>
  <c r="BS181" i="40"/>
  <c r="CG181" i="40" s="1"/>
  <c r="C47" i="36"/>
  <c r="CH187" i="40"/>
  <c r="CI191" i="40"/>
  <c r="J13" i="33"/>
  <c r="J9" i="33"/>
  <c r="J8" i="33" s="1"/>
  <c r="J75" i="33"/>
  <c r="M52" i="33"/>
  <c r="J51" i="33"/>
  <c r="J47" i="33" s="1"/>
  <c r="BF167" i="40"/>
  <c r="M25" i="33"/>
  <c r="M71" i="33" s="1"/>
  <c r="J71" i="33"/>
  <c r="M58" i="33"/>
  <c r="M55" i="33" s="1"/>
  <c r="BU193" i="40"/>
  <c r="BT193" i="40" s="1"/>
  <c r="BS193" i="40" s="1"/>
  <c r="CG193" i="40" s="1"/>
  <c r="BT191" i="40"/>
  <c r="BS191" i="40" s="1"/>
  <c r="CG191" i="40" s="1"/>
  <c r="F55" i="36"/>
  <c r="AQ167" i="40"/>
  <c r="BE167" i="40" s="1"/>
  <c r="AR183" i="40"/>
  <c r="CJ183" i="40"/>
  <c r="CJ195" i="40" s="1"/>
  <c r="F69" i="36"/>
  <c r="J37" i="33"/>
  <c r="M40" i="33"/>
  <c r="J69" i="33"/>
  <c r="BF187" i="40"/>
  <c r="BG191" i="40"/>
  <c r="F48" i="36"/>
  <c r="F70" i="36"/>
  <c r="M32" i="33"/>
  <c r="M30" i="33" s="1"/>
  <c r="J30" i="33"/>
  <c r="G72" i="33"/>
  <c r="G4" i="33"/>
  <c r="G3" i="33" s="1"/>
  <c r="M13" i="33"/>
  <c r="M9" i="33"/>
  <c r="M8" i="33" s="1"/>
  <c r="M73" i="33"/>
  <c r="G51" i="33"/>
  <c r="G47" i="33" s="1"/>
  <c r="G75" i="33"/>
  <c r="BG183" i="40"/>
  <c r="CS195" i="40" l="1"/>
  <c r="W12" i="44"/>
  <c r="W66" i="44" s="1"/>
  <c r="F65" i="33"/>
  <c r="CH183" i="40"/>
  <c r="J33" i="33"/>
  <c r="K12" i="44"/>
  <c r="K66" i="44" s="1"/>
  <c r="W74" i="44"/>
  <c r="W9" i="44"/>
  <c r="W8" i="44" s="1"/>
  <c r="F74" i="36"/>
  <c r="F76" i="36" s="1"/>
  <c r="BF183" i="40"/>
  <c r="G12" i="33"/>
  <c r="G65" i="33" s="1"/>
  <c r="G74" i="33"/>
  <c r="G76" i="33" s="1"/>
  <c r="BU195" i="40"/>
  <c r="C65" i="36"/>
  <c r="F47" i="36"/>
  <c r="F65" i="36" s="1"/>
  <c r="M17" i="33"/>
  <c r="AS195" i="40"/>
  <c r="J74" i="33"/>
  <c r="J76" i="33" s="1"/>
  <c r="BT195" i="40"/>
  <c r="BS183" i="40"/>
  <c r="CG183" i="40" s="1"/>
  <c r="M37" i="33"/>
  <c r="M33" i="33" s="1"/>
  <c r="M69" i="33"/>
  <c r="AQ183" i="40"/>
  <c r="BE183" i="40" s="1"/>
  <c r="AR195" i="40"/>
  <c r="M22" i="33"/>
  <c r="M51" i="33"/>
  <c r="M47" i="33" s="1"/>
  <c r="M75" i="33"/>
  <c r="CH191" i="40"/>
  <c r="CI193" i="40"/>
  <c r="BG193" i="40"/>
  <c r="BF193" i="40" s="1"/>
  <c r="BF191" i="40"/>
  <c r="J12" i="33"/>
  <c r="M72" i="33"/>
  <c r="M4" i="33"/>
  <c r="M3" i="33" s="1"/>
  <c r="J65" i="33" l="1"/>
  <c r="BF195" i="40"/>
  <c r="M74" i="33"/>
  <c r="M76" i="33" s="1"/>
  <c r="M12" i="33"/>
  <c r="M65" i="33" s="1"/>
  <c r="BG195" i="40"/>
  <c r="CH193" i="40"/>
  <c r="CH195" i="40" s="1"/>
  <c r="CI195" i="40"/>
  <c r="AZ138" i="174" l="1"/>
  <c r="DC158" i="174"/>
  <c r="DH165" i="174"/>
  <c r="DH168" i="174"/>
  <c r="ED168" i="174" s="1"/>
  <c r="AZ170" i="174"/>
  <c r="CR159" i="174"/>
  <c r="DH150" i="174"/>
  <c r="CR168" i="174"/>
  <c r="BP165" i="174" l="1"/>
  <c r="ED165" i="174"/>
  <c r="CN165" i="174"/>
  <c r="BK158" i="174"/>
  <c r="AZ159" i="174"/>
  <c r="BV170" i="174"/>
  <c r="CZ161" i="174"/>
  <c r="DN168" i="174"/>
  <c r="DJ168" i="174" s="1"/>
  <c r="CN168" i="174"/>
  <c r="CN159" i="174"/>
  <c r="DN159" i="174"/>
  <c r="CR200" i="174"/>
  <c r="DC200" i="174"/>
  <c r="DC205" i="174" s="1"/>
  <c r="DC207" i="174" s="1"/>
  <c r="DC195" i="174"/>
  <c r="DC197" i="174" s="1"/>
  <c r="DY158" i="174"/>
  <c r="CN158" i="174"/>
  <c r="AZ134" i="174"/>
  <c r="BH137" i="174"/>
  <c r="AZ139" i="174"/>
  <c r="CN150" i="174"/>
  <c r="ED150" i="174"/>
  <c r="DH199" i="174"/>
  <c r="AZ137" i="174"/>
  <c r="AZ133" i="174"/>
  <c r="BH139" i="174"/>
  <c r="CD139" i="174" s="1"/>
  <c r="AV138" i="174"/>
  <c r="AU138" i="174" s="1"/>
  <c r="BQ138" i="174" s="1"/>
  <c r="BV138" i="174"/>
  <c r="BR138" i="174" s="1"/>
  <c r="CR134" i="174"/>
  <c r="DH172" i="174"/>
  <c r="DC208" i="174" l="1"/>
  <c r="ED172" i="174"/>
  <c r="DJ172" i="174" s="1"/>
  <c r="CN172" i="174"/>
  <c r="BK200" i="174"/>
  <c r="BK205" i="174" s="1"/>
  <c r="BK207" i="174" s="1"/>
  <c r="CG158" i="174"/>
  <c r="BK195" i="174"/>
  <c r="BK197" i="174" s="1"/>
  <c r="AV158" i="174"/>
  <c r="AU158" i="174" s="1"/>
  <c r="BQ158" i="174" s="1"/>
  <c r="DJ165" i="174"/>
  <c r="DH200" i="174"/>
  <c r="DH205" i="174" s="1"/>
  <c r="DH207" i="174" s="1"/>
  <c r="DV161" i="174"/>
  <c r="CN161" i="174"/>
  <c r="CZ200" i="174"/>
  <c r="CZ205" i="174" s="1"/>
  <c r="CZ207" i="174" s="1"/>
  <c r="CZ195" i="174"/>
  <c r="CZ197" i="174" s="1"/>
  <c r="CM165" i="174"/>
  <c r="DI165" i="174" s="1"/>
  <c r="H165" i="174"/>
  <c r="I165" i="174" s="1"/>
  <c r="H158" i="174"/>
  <c r="CM158" i="174"/>
  <c r="DI158" i="174" s="1"/>
  <c r="DJ159" i="174"/>
  <c r="DN200" i="174"/>
  <c r="AV159" i="174"/>
  <c r="AU159" i="174" s="1"/>
  <c r="BQ159" i="174" s="1"/>
  <c r="BV159" i="174"/>
  <c r="AZ200" i="174"/>
  <c r="BB170" i="174"/>
  <c r="H168" i="174"/>
  <c r="I168" i="174" s="1"/>
  <c r="CM168" i="174"/>
  <c r="DI168" i="174" s="1"/>
  <c r="DH195" i="174"/>
  <c r="DH197" i="174" s="1"/>
  <c r="DY200" i="174"/>
  <c r="DY205" i="174" s="1"/>
  <c r="DY207" i="174" s="1"/>
  <c r="DJ158" i="174"/>
  <c r="DY195" i="174"/>
  <c r="DY197" i="174" s="1"/>
  <c r="H159" i="174"/>
  <c r="I159" i="174" s="1"/>
  <c r="CM159" i="174"/>
  <c r="DI159" i="174" s="1"/>
  <c r="AV165" i="174"/>
  <c r="AU165" i="174" s="1"/>
  <c r="BQ165" i="174" s="1"/>
  <c r="BP200" i="174"/>
  <c r="BP205" i="174" s="1"/>
  <c r="BP207" i="174" s="1"/>
  <c r="BP195" i="174"/>
  <c r="BP197" i="174" s="1"/>
  <c r="CL165" i="174"/>
  <c r="CN134" i="174"/>
  <c r="CR195" i="174"/>
  <c r="CR197" i="174" s="1"/>
  <c r="DN134" i="174"/>
  <c r="CR199" i="174"/>
  <c r="H150" i="174"/>
  <c r="I150" i="174" s="1"/>
  <c r="CM150" i="174"/>
  <c r="DI150" i="174" s="1"/>
  <c r="BV139" i="174"/>
  <c r="BR139" i="174" s="1"/>
  <c r="AV139" i="174"/>
  <c r="AU139" i="174" s="1"/>
  <c r="BQ139" i="174" s="1"/>
  <c r="BV137" i="174"/>
  <c r="AV137" i="174"/>
  <c r="AU137" i="174" s="1"/>
  <c r="BQ137" i="174" s="1"/>
  <c r="BH199" i="174"/>
  <c r="BH205" i="174" s="1"/>
  <c r="BH207" i="174" s="1"/>
  <c r="CD137" i="174"/>
  <c r="BH195" i="174"/>
  <c r="BH197" i="174" s="1"/>
  <c r="AV133" i="174"/>
  <c r="BV133" i="174"/>
  <c r="AZ195" i="174"/>
  <c r="AZ197" i="174" s="1"/>
  <c r="AZ199" i="174"/>
  <c r="AV134" i="174"/>
  <c r="AU134" i="174" s="1"/>
  <c r="BQ134" i="174" s="1"/>
  <c r="BV134" i="174"/>
  <c r="BR134" i="174" s="1"/>
  <c r="ED195" i="174"/>
  <c r="ED197" i="174" s="1"/>
  <c r="ED199" i="174"/>
  <c r="DJ150" i="174"/>
  <c r="ED200" i="174" l="1"/>
  <c r="ED205" i="174" s="1"/>
  <c r="ED207" i="174" s="1"/>
  <c r="ED208" i="174" s="1"/>
  <c r="DY208" i="174"/>
  <c r="BK208" i="174"/>
  <c r="DH208" i="174"/>
  <c r="BR165" i="174"/>
  <c r="CL195" i="174"/>
  <c r="CL197" i="174" s="1"/>
  <c r="CL200" i="174"/>
  <c r="CL205" i="174" s="1"/>
  <c r="CL207" i="174" s="1"/>
  <c r="BP208" i="174"/>
  <c r="BR159" i="174"/>
  <c r="BV200" i="174"/>
  <c r="CN200" i="174"/>
  <c r="CM200" i="174" s="1"/>
  <c r="DI200" i="174" s="1"/>
  <c r="H161" i="174"/>
  <c r="I161" i="174" s="1"/>
  <c r="CM161" i="174"/>
  <c r="DI161" i="174" s="1"/>
  <c r="CG200" i="174"/>
  <c r="CG205" i="174" s="1"/>
  <c r="CG207" i="174" s="1"/>
  <c r="CG195" i="174"/>
  <c r="CG197" i="174" s="1"/>
  <c r="BR158" i="174"/>
  <c r="DV195" i="174"/>
  <c r="DV197" i="174" s="1"/>
  <c r="DV200" i="174"/>
  <c r="DV205" i="174" s="1"/>
  <c r="DV207" i="174" s="1"/>
  <c r="DJ161" i="174"/>
  <c r="BX170" i="174"/>
  <c r="BB200" i="174"/>
  <c r="BB205" i="174" s="1"/>
  <c r="BB207" i="174" s="1"/>
  <c r="BB195" i="174"/>
  <c r="BB197" i="174" s="1"/>
  <c r="AV170" i="174"/>
  <c r="AU170" i="174" s="1"/>
  <c r="BQ170" i="174" s="1"/>
  <c r="CM172" i="174"/>
  <c r="DI172" i="174" s="1"/>
  <c r="H172" i="174"/>
  <c r="I172" i="174" s="1"/>
  <c r="CZ208" i="174"/>
  <c r="I158" i="174"/>
  <c r="CR205" i="174"/>
  <c r="CR207" i="174" s="1"/>
  <c r="CR208" i="174" s="1"/>
  <c r="CN199" i="174"/>
  <c r="BH208" i="174"/>
  <c r="CD199" i="174"/>
  <c r="CD205" i="174" s="1"/>
  <c r="CD207" i="174" s="1"/>
  <c r="CD195" i="174"/>
  <c r="CD197" i="174" s="1"/>
  <c r="DJ134" i="174"/>
  <c r="DN195" i="174"/>
  <c r="DN197" i="174" s="1"/>
  <c r="DN199" i="174"/>
  <c r="AU133" i="174"/>
  <c r="BQ133" i="174" s="1"/>
  <c r="AZ205" i="174"/>
  <c r="AZ207" i="174" s="1"/>
  <c r="AZ208" i="174" s="1"/>
  <c r="AV199" i="174"/>
  <c r="BR137" i="174"/>
  <c r="CM134" i="174"/>
  <c r="DI134" i="174" s="1"/>
  <c r="H134" i="174"/>
  <c r="CN195" i="174"/>
  <c r="BR133" i="174"/>
  <c r="BV199" i="174"/>
  <c r="BV195" i="174"/>
  <c r="BV197" i="174" s="1"/>
  <c r="DJ195" i="174" l="1"/>
  <c r="DJ197" i="174" s="1"/>
  <c r="H200" i="174"/>
  <c r="AV200" i="174"/>
  <c r="AU200" i="174" s="1"/>
  <c r="BQ200" i="174" s="1"/>
  <c r="BB208" i="174"/>
  <c r="DV208" i="174"/>
  <c r="CG208" i="174"/>
  <c r="CL208" i="174"/>
  <c r="BX200" i="174"/>
  <c r="BX205" i="174" s="1"/>
  <c r="BX207" i="174" s="1"/>
  <c r="BX195" i="174"/>
  <c r="BX197" i="174" s="1"/>
  <c r="BR170" i="174"/>
  <c r="BR195" i="174" s="1"/>
  <c r="BR197" i="174" s="1"/>
  <c r="AV195" i="174"/>
  <c r="AV197" i="174" s="1"/>
  <c r="AU197" i="174" s="1"/>
  <c r="BQ197" i="174" s="1"/>
  <c r="I200" i="174"/>
  <c r="DJ200" i="174"/>
  <c r="DN205" i="174"/>
  <c r="DN207" i="174" s="1"/>
  <c r="DN208" i="174" s="1"/>
  <c r="DJ199" i="174"/>
  <c r="I134" i="174"/>
  <c r="H199" i="174"/>
  <c r="H195" i="174"/>
  <c r="H197" i="174" s="1"/>
  <c r="CD208" i="174"/>
  <c r="CM195" i="174"/>
  <c r="DI195" i="174" s="1"/>
  <c r="DI197" i="174" s="1"/>
  <c r="CN197" i="174"/>
  <c r="CM197" i="174" s="1"/>
  <c r="BR199" i="174"/>
  <c r="BV205" i="174"/>
  <c r="BV207" i="174" s="1"/>
  <c r="BV208" i="174" s="1"/>
  <c r="AU199" i="174"/>
  <c r="BQ199" i="174" s="1"/>
  <c r="CM199" i="174"/>
  <c r="DI199" i="174" s="1"/>
  <c r="CN205" i="174"/>
  <c r="AU195" i="174" l="1"/>
  <c r="BQ195" i="174" s="1"/>
  <c r="AV205" i="174"/>
  <c r="AU205" i="174" s="1"/>
  <c r="BQ205" i="174" s="1"/>
  <c r="H205" i="174"/>
  <c r="H207" i="174" s="1"/>
  <c r="DJ205" i="174"/>
  <c r="DJ207" i="174" s="1"/>
  <c r="DJ208" i="174" s="1"/>
  <c r="BX208" i="174"/>
  <c r="BR200" i="174"/>
  <c r="BR205" i="174" s="1"/>
  <c r="BR207" i="174" s="1"/>
  <c r="BR208" i="174" s="1"/>
  <c r="CM205" i="174"/>
  <c r="DI205" i="174" s="1"/>
  <c r="CN207" i="174"/>
  <c r="I199" i="174"/>
  <c r="I205" i="174" s="1"/>
  <c r="I207" i="174" s="1"/>
  <c r="I195" i="174"/>
  <c r="I197" i="174" s="1"/>
  <c r="AV207" i="174" l="1"/>
  <c r="AV208" i="174" s="1"/>
  <c r="CN208" i="174"/>
  <c r="CN209" i="174"/>
  <c r="CM207" i="174"/>
  <c r="DI207" i="174" s="1"/>
  <c r="AV209" i="174" l="1"/>
  <c r="AU207" i="174"/>
  <c r="BQ207" i="174" s="1"/>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AN20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AN206"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AN20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<sst xmlns="http://schemas.openxmlformats.org/spreadsheetml/2006/main" count="20644" uniqueCount="5001">
  <si>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</si>
  <si>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</si>
  <si>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</si>
  <si>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</si>
  <si>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</si>
  <si>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</si>
  <si>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</si>
  <si>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</si>
  <si>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</si>
  <si>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</si>
  <si>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</si>
  <si>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</si>
  <si>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</si>
  <si>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</si>
  <si>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</si>
  <si>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</si>
  <si>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</si>
  <si>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</si>
  <si>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</si>
  <si>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</si>
  <si>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</si>
  <si>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</si>
  <si>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</si>
  <si>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</si>
  <si>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</si>
  <si>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</si>
  <si>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</si>
  <si>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</si>
  <si>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</si>
  <si>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</si>
  <si>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</si>
  <si>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</si>
  <si>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</si>
  <si>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</si>
  <si>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</si>
  <si>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</si>
  <si>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</si>
  <si>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</si>
  <si>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</si>
  <si>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</si>
  <si>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</si>
  <si>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</si>
  <si>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</si>
  <si>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</si>
  <si>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</si>
  <si>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</si>
  <si>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</si>
  <si>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</si>
  <si>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</si>
  <si>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</si>
  <si>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</si>
  <si>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</si>
  <si>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</si>
  <si>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</si>
  <si>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</si>
  <si>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</si>
  <si>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</si>
  <si>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</si>
  <si>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</si>
  <si>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</si>
  <si>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</si>
  <si>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</si>
  <si>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</si>
  <si>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</si>
  <si>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</si>
  <si>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</si>
  <si>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</si>
  <si>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</si>
  <si>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</si>
  <si>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</si>
  <si>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</si>
  <si>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</si>
  <si>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</si>
  <si>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</si>
  <si>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</si>
  <si>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</si>
  <si>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</si>
  <si>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</si>
  <si>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</si>
  <si>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</si>
  <si>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</si>
  <si>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</si>
  <si>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</si>
  <si>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</si>
  <si>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</si>
  <si>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</si>
  <si>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</si>
  <si>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</si>
  <si>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</si>
  <si>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</si>
  <si>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</si>
  <si>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</si>
  <si>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</si>
  <si>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</si>
  <si>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</si>
  <si>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</si>
  <si>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</si>
  <si>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</si>
  <si>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</si>
  <si>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</si>
  <si>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</si>
  <si>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</si>
  <si>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</si>
  <si>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</si>
  <si>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</si>
  <si>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</si>
  <si>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</si>
  <si>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</si>
  <si>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</si>
  <si>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</si>
  <si>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</si>
  <si>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</si>
  <si>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</si>
  <si>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</si>
  <si>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</si>
  <si>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</si>
  <si>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</si>
  <si>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</si>
  <si>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</si>
  <si>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</si>
  <si>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</si>
  <si>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</si>
  <si>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</si>
  <si>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</si>
  <si>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</si>
  <si>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</si>
  <si>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</si>
  <si>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</si>
  <si>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</si>
  <si>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</si>
  <si>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</si>
  <si>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</si>
  <si>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</si>
  <si>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</si>
  <si>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</si>
  <si>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</si>
  <si>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</si>
  <si>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</si>
  <si>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</si>
  <si>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</si>
  <si>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</si>
  <si>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</si>
  <si>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</si>
  <si>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</si>
  <si>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</si>
  <si>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</si>
  <si>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</si>
  <si>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</si>
  <si>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</si>
  <si>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</si>
  <si>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</si>
  <si>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</si>
  <si>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</si>
  <si>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</si>
  <si>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</si>
  <si>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</si>
  <si>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</si>
  <si>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</si>
  <si>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</si>
  <si>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</si>
  <si>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</si>
  <si>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</si>
  <si>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</si>
  <si>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</si>
  <si>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</si>
  <si>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</si>
  <si>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</si>
  <si>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</si>
  <si>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</si>
  <si>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</si>
  <si>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</si>
  <si>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</si>
  <si>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</si>
  <si>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</si>
  <si>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</si>
  <si>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</si>
  <si>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</si>
  <si>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</si>
  <si>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</si>
  <si>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</si>
  <si>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</si>
  <si>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</si>
  <si>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</si>
  <si>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</si>
  <si>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</si>
  <si>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</si>
  <si>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</si>
  <si>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</si>
  <si>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</si>
  <si>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</si>
  <si>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</si>
  <si>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</si>
  <si>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</si>
  <si>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</si>
  <si>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</si>
  <si>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</si>
  <si>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</si>
  <si>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</si>
  <si>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</si>
  <si>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</si>
  <si>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</si>
  <si>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</si>
  <si>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</si>
  <si>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</si>
  <si>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</si>
  <si>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</si>
  <si>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</si>
  <si>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</si>
  <si>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</si>
  <si>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</si>
  <si>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</si>
  <si>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</si>
  <si>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</si>
  <si>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</si>
  <si>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</si>
  <si>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</si>
  <si>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</si>
  <si>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</si>
  <si>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</si>
  <si>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</si>
  <si>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</si>
  <si>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</si>
  <si>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</si>
  <si>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</si>
  <si>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</si>
  <si>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</si>
  <si>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</si>
  <si>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</si>
  <si>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</si>
  <si>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</si>
  <si>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</si>
  <si>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</si>
  <si>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</si>
  <si>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</si>
  <si>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</si>
  <si>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</si>
  <si>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</si>
  <si>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</si>
  <si>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</si>
  <si>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</si>
  <si>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</si>
  <si>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</si>
  <si>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</si>
  <si>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</si>
  <si>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</si>
  <si>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</si>
  <si>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</si>
  <si>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</si>
  <si>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</si>
  <si>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</si>
  <si>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</si>
  <si>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</si>
  <si>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</si>
  <si>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</si>
  <si>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</si>
  <si>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</si>
  <si>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</si>
  <si>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</si>
  <si>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</si>
  <si>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</si>
  <si>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</si>
  <si>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</si>
  <si>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</si>
  <si>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</si>
  <si>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</si>
  <si>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</si>
  <si>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</si>
  <si>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</si>
  <si>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</si>
  <si>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</si>
  <si>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</si>
  <si>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</si>
  <si>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</si>
  <si>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</si>
  <si>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</si>
  <si>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</si>
  <si>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</si>
  <si>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</si>
  <si>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</si>
  <si>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</si>
  <si>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</si>
  <si>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</si>
  <si>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</si>
  <si>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</si>
  <si>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</si>
  <si>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</si>
  <si>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</si>
  <si>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</si>
  <si>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</si>
  <si>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</si>
  <si>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</si>
  <si>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</si>
  <si>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</si>
  <si>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</si>
  <si>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</si>
  <si>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</si>
  <si>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</si>
  <si>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</si>
  <si>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</si>
  <si>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</si>
  <si>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</si>
  <si>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</si>
  <si>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</si>
  <si>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</si>
  <si>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</si>
  <si>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</si>
  <si>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</si>
  <si>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</si>
  <si>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</si>
  <si>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</si>
  <si>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</si>
  <si>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</si>
  <si>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</si>
  <si>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</si>
  <si>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</si>
  <si>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</si>
  <si>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</si>
  <si>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</si>
  <si>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</si>
  <si>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</si>
  <si>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</si>
  <si>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</si>
  <si>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</si>
  <si>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</si>
  <si>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</si>
  <si>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</si>
  <si>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</si>
  <si>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</si>
  <si>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</si>
  <si>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</si>
  <si>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</si>
  <si>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</si>
  <si>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</si>
  <si>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</si>
  <si>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</si>
  <si>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</si>
  <si>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</si>
  <si>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</si>
  <si>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</si>
  <si>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</si>
  <si>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</si>
  <si>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</si>
  <si>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</si>
  <si>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</si>
  <si>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</si>
  <si>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</si>
  <si>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</si>
  <si>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</si>
  <si>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</si>
  <si>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</si>
  <si>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</si>
  <si>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</si>
  <si>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</si>
  <si>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</si>
  <si>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</si>
  <si>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</si>
  <si>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</si>
  <si>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</si>
  <si>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</si>
  <si>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</si>
  <si>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</si>
  <si>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</si>
  <si>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</si>
  <si>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</si>
  <si>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</si>
  <si>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</si>
  <si>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</si>
  <si>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</si>
  <si>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</si>
  <si>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</si>
  <si>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</si>
  <si>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</si>
  <si>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</si>
  <si>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</si>
  <si>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</si>
  <si>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</si>
  <si>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</si>
  <si>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</si>
  <si>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</si>
  <si>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</si>
  <si>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</si>
  <si>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</si>
  <si>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</si>
  <si>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</si>
  <si>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</si>
  <si>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</si>
  <si>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</si>
  <si>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</si>
  <si>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</si>
  <si>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</si>
  <si>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</si>
  <si>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</si>
  <si>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</si>
  <si>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</si>
  <si>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</si>
  <si>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</si>
  <si>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</si>
  <si>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</si>
  <si>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</si>
  <si>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</si>
  <si>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</si>
  <si>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</si>
  <si>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</si>
  <si>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</si>
  <si>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</si>
  <si>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</si>
  <si>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</si>
  <si>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</si>
  <si>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</si>
  <si>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</si>
  <si>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</si>
  <si>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</si>
  <si>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</si>
  <si>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</si>
  <si>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</si>
  <si>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</si>
  <si>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</si>
  <si>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</si>
  <si>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</si>
  <si>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</si>
  <si>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</si>
  <si>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</si>
  <si>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</si>
  <si>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</si>
  <si>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</si>
  <si>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</si>
  <si>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</si>
  <si>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</si>
  <si>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</si>
  <si>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</si>
  <si>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</si>
  <si>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</si>
  <si>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</si>
  <si>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</si>
  <si>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</si>
  <si>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</si>
  <si>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</si>
  <si>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</si>
  <si>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</si>
  <si>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</si>
  <si>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</si>
  <si>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</si>
  <si>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</si>
  <si>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</si>
  <si>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</si>
  <si>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</si>
  <si>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</si>
  <si>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</si>
  <si>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</si>
  <si>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</si>
  <si>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</si>
  <si>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</si>
  <si>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</si>
  <si>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</si>
  <si>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</si>
  <si>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</si>
  <si>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</si>
  <si>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</si>
  <si>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</si>
  <si>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</si>
  <si>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</si>
  <si>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</si>
  <si>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</si>
  <si>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</si>
  <si>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</si>
  <si>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</si>
  <si>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</si>
  <si>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</si>
  <si>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</si>
  <si>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</si>
  <si>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</si>
  <si>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</si>
  <si>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</si>
  <si>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</si>
  <si>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</si>
  <si>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</si>
  <si>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</si>
  <si>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</si>
  <si>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</si>
  <si>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</si>
  <si>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</si>
  <si>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</si>
  <si>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</si>
  <si>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</si>
  <si>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</si>
  <si>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</si>
  <si>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</si>
  <si>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</si>
  <si>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</si>
  <si>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</si>
  <si>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</si>
  <si>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</si>
  <si>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</si>
  <si>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</si>
  <si>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</si>
  <si>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</si>
  <si>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</si>
  <si>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</si>
  <si>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</si>
  <si>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</si>
  <si>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</si>
  <si>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</si>
  <si>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</si>
  <si>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</si>
  <si>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</si>
  <si>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</si>
  <si>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</si>
  <si>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</si>
  <si>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</si>
  <si>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</si>
  <si>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</si>
  <si>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</si>
  <si>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</si>
  <si>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</si>
  <si>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</si>
  <si>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</si>
  <si>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</si>
  <si>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</si>
  <si>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</si>
  <si>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</si>
  <si>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</si>
  <si>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</si>
  <si>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</si>
  <si>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</si>
  <si>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</si>
  <si>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</si>
  <si>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</si>
  <si>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</si>
  <si>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</si>
  <si>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</si>
  <si>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</si>
  <si>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</si>
  <si>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</si>
  <si>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</si>
  <si>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</si>
  <si>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</si>
  <si>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</si>
  <si>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</si>
  <si>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</si>
  <si>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</si>
  <si>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</si>
  <si>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</si>
  <si>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</si>
  <si>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</si>
  <si>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</si>
  <si>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</si>
  <si>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</si>
  <si>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</si>
  <si>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</si>
  <si>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</si>
  <si>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</si>
  <si>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</si>
  <si>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</si>
  <si>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</si>
  <si>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</si>
  <si>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</si>
  <si>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</si>
  <si>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</si>
  <si>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</si>
  <si>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</si>
  <si>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</si>
  <si>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</si>
  <si>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</si>
  <si>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</si>
  <si>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</si>
  <si>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</si>
  <si>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</si>
  <si>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</si>
  <si>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</si>
  <si>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</si>
  <si>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</si>
  <si>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</si>
  <si>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</si>
  <si>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</si>
  <si>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</si>
  <si>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</si>
  <si>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</si>
  <si>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</si>
  <si>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</si>
  <si>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</si>
  <si>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</si>
  <si>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</si>
  <si>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</si>
  <si>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</si>
  <si>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</si>
  <si>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</si>
  <si>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</si>
  <si>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</si>
  <si>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</si>
  <si>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</si>
  <si>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</si>
  <si>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</si>
  <si>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</si>
  <si>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</si>
  <si>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</si>
  <si>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</si>
  <si>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</si>
  <si>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</si>
  <si>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</si>
  <si>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</si>
  <si>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</si>
  <si>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</si>
  <si>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</si>
  <si>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</si>
  <si>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</si>
  <si>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</si>
  <si>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</si>
  <si>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</si>
  <si>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</si>
  <si>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</si>
  <si>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</si>
  <si>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</si>
  <si>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</si>
  <si>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</si>
  <si>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</si>
  <si>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</si>
  <si>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</si>
  <si>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</si>
  <si>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</si>
  <si>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</si>
  <si>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</si>
  <si>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</si>
  <si>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</si>
  <si>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</si>
  <si>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</si>
  <si>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</si>
  <si>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</si>
  <si>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</si>
  <si>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</si>
  <si>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</si>
  <si>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</si>
  <si>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</si>
  <si>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</si>
  <si>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</si>
  <si>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</si>
  <si>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</si>
  <si>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</si>
  <si>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</si>
  <si>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</si>
  <si>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</si>
  <si>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</si>
  <si>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</si>
  <si>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</si>
  <si>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</si>
  <si>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</si>
  <si>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</si>
  <si>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</si>
  <si>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</si>
  <si>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</si>
  <si>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</si>
  <si>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</si>
  <si>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</si>
  <si>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</si>
  <si>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</si>
  <si>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</si>
  <si>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</si>
  <si>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</si>
  <si>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</si>
  <si>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</si>
  <si>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</si>
  <si>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</si>
  <si>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</si>
  <si>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</si>
  <si>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</si>
  <si>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</si>
  <si>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</si>
  <si>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</si>
  <si>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</si>
  <si>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</si>
  <si>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</si>
  <si>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</si>
  <si>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</si>
  <si>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</si>
  <si>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</si>
  <si>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</si>
  <si>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</si>
  <si>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</si>
  <si>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</si>
  <si>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</si>
  <si>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</si>
  <si>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</si>
  <si>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</si>
  <si>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</si>
  <si>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</si>
  <si>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</si>
  <si>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</si>
  <si>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</si>
  <si>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</si>
  <si>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</si>
  <si>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</si>
  <si>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</si>
  <si>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</si>
  <si>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</si>
  <si>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</si>
  <si>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</si>
  <si>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</si>
  <si>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</si>
  <si>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</si>
  <si>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</si>
  <si>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</si>
  <si>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</si>
  <si>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</si>
  <si>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</si>
  <si>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</si>
  <si>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</si>
  <si>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</si>
  <si>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</si>
  <si>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</si>
  <si>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</si>
  <si>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</si>
  <si>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</si>
  <si>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</si>
  <si>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</si>
  <si>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</si>
  <si>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</si>
  <si>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</si>
  <si>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</si>
  <si>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</si>
  <si>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</si>
  <si>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</si>
  <si>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</si>
  <si>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</si>
  <si>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</si>
  <si>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</si>
  <si>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</si>
  <si>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</si>
  <si>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</si>
  <si>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</si>
  <si>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</si>
  <si>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</si>
  <si>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</si>
  <si>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</si>
  <si>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</si>
  <si>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</si>
  <si>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</si>
  <si>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</si>
  <si>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</si>
  <si>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</si>
  <si>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</si>
  <si>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</si>
  <si>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</si>
  <si>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</si>
  <si>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</si>
  <si>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</si>
  <si>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</si>
  <si>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</si>
  <si>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</si>
  <si>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</si>
  <si>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</si>
  <si>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</si>
  <si>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</si>
  <si>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</si>
  <si>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</si>
  <si>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</si>
  <si>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</si>
  <si>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</si>
  <si>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</si>
  <si>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</si>
  <si>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</si>
  <si>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</si>
  <si>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</si>
  <si>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</si>
  <si>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</si>
  <si>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</si>
  <si>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</si>
  <si>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</si>
  <si>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</si>
  <si>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</si>
  <si>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</si>
  <si>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</si>
  <si>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</si>
  <si>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</si>
  <si>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</si>
  <si>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</si>
  <si>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</si>
  <si>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</si>
  <si>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</si>
  <si>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</si>
  <si>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</si>
  <si>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</si>
  <si>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</si>
  <si>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</si>
  <si>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</si>
  <si>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</si>
  <si>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</si>
  <si>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</si>
  <si>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</si>
  <si>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</si>
  <si>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</si>
  <si>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</si>
  <si>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</si>
  <si>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</si>
  <si>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</si>
  <si>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</si>
  <si>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</si>
  <si>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</si>
  <si>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</si>
  <si>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</si>
  <si>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</si>
  <si>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</si>
  <si>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</si>
  <si>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</si>
  <si>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</si>
  <si>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</si>
  <si>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</si>
  <si>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</si>
  <si>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</si>
  <si>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</si>
  <si>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</si>
  <si>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</si>
  <si>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</si>
  <si>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</si>
  <si>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</si>
  <si>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</si>
  <si>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</si>
  <si>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</si>
  <si>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</si>
  <si>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</si>
  <si>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</si>
  <si>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</si>
  <si>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</si>
  <si>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</si>
  <si>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</si>
  <si>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</si>
  <si>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</si>
  <si>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</si>
  <si>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</si>
  <si>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</si>
  <si>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</si>
  <si>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</si>
  <si>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</si>
  <si>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</si>
  <si>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</si>
  <si>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</si>
  <si>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</si>
  <si>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</si>
  <si>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</si>
  <si>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</si>
  <si>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</si>
  <si>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</si>
  <si>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</si>
  <si>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</si>
  <si>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</si>
  <si>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</si>
  <si>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</si>
  <si>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</si>
  <si>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</si>
  <si>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</si>
  <si>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</si>
  <si>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</si>
  <si>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</si>
  <si>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</si>
  <si>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</si>
  <si>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</si>
  <si>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</si>
  <si>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</si>
  <si>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</si>
  <si>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</si>
  <si>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</si>
  <si>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</si>
  <si>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</si>
  <si>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</si>
  <si>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</si>
  <si>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</si>
  <si>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</si>
  <si>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</si>
  <si>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</si>
  <si>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</si>
  <si>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</si>
  <si>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</si>
  <si>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</si>
  <si>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</si>
  <si>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</si>
  <si>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</si>
  <si>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</si>
  <si>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</si>
  <si>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</si>
  <si>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</si>
  <si>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</si>
  <si>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</si>
  <si>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</si>
  <si>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</si>
  <si>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</si>
  <si>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</si>
  <si>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</si>
  <si>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</si>
  <si>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</si>
  <si>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</si>
  <si>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</si>
  <si>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</si>
  <si>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</si>
  <si>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</si>
  <si>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</si>
  <si>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</si>
  <si>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</si>
  <si>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</si>
  <si>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</si>
  <si>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</si>
  <si>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</si>
  <si>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</si>
  <si>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</si>
  <si>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</si>
  <si>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</si>
  <si>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</si>
  <si>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</si>
  <si>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</si>
  <si>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</si>
  <si>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</si>
  <si>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</si>
  <si>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</si>
  <si>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</si>
  <si>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</si>
  <si>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</si>
  <si>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</si>
  <si>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</si>
  <si>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</si>
  <si>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</si>
  <si>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</si>
  <si>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</si>
  <si>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</si>
  <si>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</si>
  <si>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</si>
  <si>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</si>
  <si>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</si>
  <si>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</si>
  <si>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</si>
  <si>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</si>
  <si>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</si>
  <si>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</si>
  <si>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</si>
  <si>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</si>
  <si>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</si>
  <si>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</si>
  <si>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</si>
  <si>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</si>
  <si>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</si>
  <si>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</si>
  <si>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</si>
  <si>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</si>
  <si>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</si>
  <si>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</si>
  <si>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</si>
  <si>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</si>
  <si>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</si>
  <si>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</si>
  <si>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</si>
  <si>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</si>
  <si>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</si>
  <si>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</si>
  <si>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</si>
  <si>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</si>
  <si>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</si>
  <si>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</si>
  <si>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</si>
  <si>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</si>
  <si>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</si>
  <si>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</si>
  <si>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</si>
  <si>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</si>
  <si>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</si>
  <si>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</si>
  <si>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</si>
  <si>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</si>
  <si>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</si>
  <si>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</si>
  <si>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</si>
  <si>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</si>
  <si>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</si>
  <si>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</si>
  <si>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</si>
  <si>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</si>
  <si>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</si>
  <si>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</si>
  <si>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</si>
  <si>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</si>
  <si>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</si>
  <si>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</si>
  <si>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</si>
  <si>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</si>
  <si>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</si>
  <si>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</si>
  <si>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</si>
  <si>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</si>
  <si>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</si>
  <si>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</si>
  <si>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</si>
  <si>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</si>
  <si>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</si>
  <si>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</si>
  <si>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</si>
  <si>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</si>
  <si>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</si>
  <si>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</si>
  <si>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</si>
  <si>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</si>
  <si>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</si>
  <si>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</si>
  <si>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</si>
  <si>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</si>
  <si>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</si>
  <si>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</si>
  <si>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</si>
  <si>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</si>
  <si>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</si>
  <si>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</si>
  <si>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</si>
  <si>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</si>
  <si>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</si>
  <si>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</si>
  <si>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</si>
  <si>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</si>
  <si>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</si>
  <si>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</si>
  <si>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</si>
  <si>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</si>
  <si>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</si>
  <si>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</si>
  <si>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</si>
  <si>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</si>
  <si>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</si>
  <si>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</si>
  <si>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</si>
  <si>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</si>
  <si>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</si>
  <si>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</si>
  <si>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</si>
  <si>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</si>
  <si>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</si>
  <si>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</si>
  <si>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</si>
  <si>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</si>
  <si>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</si>
  <si>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</si>
  <si>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</si>
  <si>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</si>
  <si>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</si>
  <si>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</si>
  <si>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</si>
  <si>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</si>
  <si>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</si>
  <si>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</si>
  <si>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</si>
  <si>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</si>
  <si>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</si>
  <si>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</si>
  <si>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</si>
  <si>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</si>
  <si>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</si>
  <si>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</si>
  <si>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</si>
  <si>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</si>
  <si>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</si>
  <si>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</si>
  <si>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</si>
  <si>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</si>
  <si>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</si>
  <si>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</si>
  <si>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</si>
  <si>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</si>
  <si>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</si>
  <si>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</si>
  <si>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</si>
  <si>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</si>
  <si>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</si>
  <si>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</si>
  <si>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</si>
  <si>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</si>
  <si>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</si>
  <si>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</si>
  <si>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</si>
  <si>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</si>
  <si>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</si>
  <si>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</si>
  <si>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</si>
  <si>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</si>
  <si>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</si>
  <si>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</si>
  <si>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</si>
  <si>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</si>
  <si>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</si>
  <si>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</si>
  <si>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</si>
  <si>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</si>
  <si>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</si>
  <si>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</si>
  <si>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</si>
  <si>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</si>
  <si>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</si>
  <si>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</si>
  <si>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</si>
  <si>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</si>
  <si>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</si>
  <si>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</si>
  <si>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</si>
  <si>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</si>
  <si>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</si>
  <si>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</si>
  <si>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</si>
  <si>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</si>
  <si>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</si>
  <si>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</si>
  <si>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</si>
  <si>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</si>
  <si>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</si>
  <si>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</si>
  <si>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</si>
  <si>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</si>
  <si>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</si>
  <si>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</si>
  <si>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</si>
  <si>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</si>
  <si>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</si>
  <si>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</si>
  <si>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</si>
  <si>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</si>
  <si>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</si>
  <si>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</si>
  <si>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</si>
  <si>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</si>
  <si>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</si>
  <si>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</si>
  <si>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</si>
  <si>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</si>
  <si>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</si>
  <si>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</si>
  <si>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</si>
  <si>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</si>
  <si>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</si>
  <si>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</si>
  <si>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</si>
  <si>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</si>
  <si>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</si>
  <si>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</si>
  <si>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</si>
  <si>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</si>
  <si>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</si>
  <si>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</si>
  <si>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</si>
  <si>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</si>
  <si>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</si>
  <si>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</si>
  <si>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</si>
  <si>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</si>
  <si>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</si>
  <si>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</si>
  <si>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</si>
  <si>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</si>
  <si>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</si>
  <si>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</si>
  <si>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</si>
  <si>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</si>
  <si>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</si>
  <si>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</si>
  <si>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</si>
  <si>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</si>
  <si>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</si>
  <si>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</si>
  <si>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</si>
  <si>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</si>
  <si>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</si>
  <si>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</si>
  <si>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</si>
  <si>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</si>
  <si>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</si>
  <si>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</si>
  <si>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</si>
  <si>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</si>
  <si>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</si>
  <si>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</si>
  <si>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</si>
  <si>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</si>
  <si>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</si>
  <si>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</si>
  <si>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</si>
  <si>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</si>
  <si>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</si>
  <si>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</si>
  <si>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</si>
  <si>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</si>
  <si>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</si>
  <si>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</si>
  <si>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</si>
  <si>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</si>
  <si>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</si>
  <si>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</si>
  <si>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</si>
  <si>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</si>
  <si>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</si>
  <si>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</si>
  <si>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</si>
  <si>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</si>
  <si>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</si>
  <si>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</si>
  <si>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</si>
  <si>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</si>
  <si>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</si>
  <si>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</si>
  <si>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</si>
  <si>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</si>
  <si>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</si>
  <si>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</si>
  <si>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</si>
  <si>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</si>
  <si>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</si>
  <si>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</si>
  <si>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</si>
  <si>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</si>
  <si>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</si>
  <si>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</si>
  <si>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</si>
  <si>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</si>
  <si>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</si>
  <si>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</si>
  <si>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</si>
  <si>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</si>
  <si>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</si>
  <si>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</si>
  <si>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</si>
  <si>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</si>
  <si>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</si>
  <si>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</si>
  <si>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</si>
  <si>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</si>
  <si>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</si>
  <si>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</si>
  <si>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</si>
  <si>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</si>
  <si>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</si>
  <si>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</si>
  <si>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</si>
  <si>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</si>
  <si>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</si>
  <si>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</si>
  <si>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</si>
  <si>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</si>
  <si>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</si>
  <si>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</si>
  <si>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</si>
  <si>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</si>
  <si>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</si>
  <si>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</si>
  <si>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</si>
  <si>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</si>
  <si>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</si>
  <si>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</si>
  <si>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</si>
  <si>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</si>
  <si>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</si>
  <si>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</si>
  <si>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</si>
  <si>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</si>
  <si>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</si>
  <si>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</si>
  <si>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</si>
  <si>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</si>
  <si>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</si>
  <si>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</si>
  <si>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</si>
  <si>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</si>
  <si>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</si>
  <si>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</si>
  <si>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</si>
  <si>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</si>
  <si>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</si>
  <si>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</si>
  <si>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</si>
  <si>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</si>
  <si>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</si>
  <si>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</si>
  <si>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</si>
  <si>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</si>
  <si>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</si>
  <si>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</si>
  <si>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</si>
  <si>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</si>
  <si>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</si>
  <si>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</si>
  <si>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</si>
  <si>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</si>
  <si>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</si>
  <si>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</si>
  <si>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</si>
  <si>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</si>
  <si>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</si>
  <si>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</si>
  <si>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</si>
  <si>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</si>
  <si>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</si>
  <si>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</si>
  <si>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</si>
  <si>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</si>
  <si>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</si>
  <si>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</si>
  <si>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</si>
  <si>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</si>
  <si>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</si>
  <si>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</si>
  <si>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</si>
  <si>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</si>
  <si>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</si>
  <si>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</si>
  <si>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</si>
  <si>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</si>
  <si>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</si>
  <si>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</si>
  <si>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</si>
  <si>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</si>
  <si>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</si>
  <si>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</si>
  <si>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</si>
  <si>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</si>
  <si>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</si>
  <si>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</si>
  <si>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</si>
  <si>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</si>
  <si>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</si>
  <si>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</si>
  <si>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</si>
  <si>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</si>
  <si>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</si>
  <si>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</si>
  <si>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</si>
  <si>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</si>
  <si>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</si>
  <si>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</si>
  <si>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</si>
  <si>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</si>
  <si>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</si>
  <si>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</si>
  <si>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</si>
  <si>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</si>
  <si>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</si>
  <si>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</si>
  <si>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</si>
  <si>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</si>
  <si>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</si>
  <si>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</si>
  <si>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</si>
  <si>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</si>
  <si>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</si>
  <si>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</si>
  <si>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</si>
  <si>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</si>
  <si>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</si>
  <si>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</si>
  <si>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</si>
  <si>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</si>
  <si>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</si>
  <si>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</si>
  <si>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</si>
  <si>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</si>
  <si>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</si>
  <si>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</si>
  <si>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</si>
  <si>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</si>
  <si>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</si>
  <si>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</si>
  <si>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</si>
  <si>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</si>
  <si>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</si>
  <si>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</si>
  <si>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</si>
  <si>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</si>
  <si>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</si>
  <si>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</si>
  <si>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</si>
  <si>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</si>
  <si>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</si>
  <si>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</si>
  <si>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</si>
  <si>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</si>
  <si>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</si>
  <si>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</si>
  <si>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</si>
  <si>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</si>
  <si>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</si>
  <si>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</si>
  <si>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</si>
  <si>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</si>
  <si>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</si>
  <si>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</si>
  <si>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</si>
  <si>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</si>
  <si>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</si>
  <si>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</si>
  <si>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</si>
  <si>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</si>
  <si>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</si>
  <si>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</si>
  <si>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</si>
  <si>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</si>
  <si>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</si>
  <si>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</si>
  <si>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</si>
  <si>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</si>
  <si>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</si>
  <si>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</si>
  <si>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</si>
  <si>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</si>
  <si>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</si>
  <si>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</si>
  <si>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</si>
  <si>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</si>
  <si>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</si>
  <si>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</si>
  <si>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</si>
  <si>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</si>
  <si>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</si>
  <si>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</si>
  <si>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</si>
  <si>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</si>
  <si>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</si>
  <si>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</si>
  <si>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</si>
  <si>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</si>
  <si>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</si>
  <si>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</si>
  <si>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</si>
  <si>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</si>
  <si>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</si>
  <si>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</si>
  <si>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</si>
  <si>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</si>
  <si>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</si>
  <si>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</si>
  <si>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</si>
  <si>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</si>
  <si>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</si>
  <si>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</si>
  <si>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</si>
  <si>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</si>
  <si>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</si>
  <si>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</si>
  <si>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</si>
  <si>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</si>
  <si>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</si>
  <si>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</si>
  <si>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</si>
  <si>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</si>
  <si>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</si>
  <si>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</si>
  <si>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</si>
  <si>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</si>
  <si>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</si>
  <si>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</si>
  <si>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</si>
  <si>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</si>
  <si>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</si>
  <si>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</si>
  <si>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</si>
  <si>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</si>
  <si>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</si>
  <si>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</si>
  <si>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</si>
  <si>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</si>
  <si>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</si>
  <si>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</si>
  <si>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</si>
  <si>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</si>
  <si>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</si>
  <si>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</si>
  <si>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</si>
  <si>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</si>
  <si>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</si>
  <si>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</si>
  <si>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</si>
  <si>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</si>
  <si>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</si>
  <si>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</si>
  <si>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</si>
  <si>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</si>
  <si>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</si>
  <si>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</si>
  <si>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</si>
  <si>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</si>
  <si>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</si>
  <si>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</si>
  <si>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</si>
  <si>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</si>
  <si>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</si>
  <si>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</si>
  <si>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</si>
  <si>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</si>
  <si>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</si>
  <si>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</si>
  <si>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</si>
  <si>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</si>
  <si>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</si>
  <si>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</si>
  <si>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</si>
  <si>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</si>
  <si>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</si>
  <si>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</si>
  <si>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</si>
  <si>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</si>
  <si>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</si>
  <si>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</si>
  <si>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</si>
  <si>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</si>
  <si>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</si>
  <si>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</si>
  <si>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</si>
  <si>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</si>
  <si>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</si>
  <si>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</si>
  <si>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</si>
  <si>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</si>
  <si>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</si>
  <si>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</si>
  <si>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</si>
  <si>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</si>
  <si>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</si>
  <si>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</si>
  <si>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</si>
  <si>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</si>
  <si>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</si>
  <si>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</si>
  <si>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</si>
  <si>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</si>
  <si>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</si>
  <si>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</si>
  <si>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</si>
  <si>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</si>
  <si>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</si>
  <si>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</si>
  <si>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</si>
  <si>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</si>
  <si>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</si>
  <si>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</si>
  <si>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</si>
  <si>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</si>
  <si>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</si>
  <si>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</si>
  <si>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</si>
  <si>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</si>
  <si>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</si>
  <si>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</si>
  <si>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</si>
  <si>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</si>
  <si>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</si>
  <si>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</si>
  <si>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</si>
  <si>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</si>
  <si>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</si>
  <si>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</si>
  <si>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</si>
  <si>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</si>
  <si>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</si>
  <si>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</si>
  <si>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</si>
  <si>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</si>
  <si>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</si>
  <si>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</si>
  <si>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</si>
  <si>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</si>
  <si>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</si>
  <si>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</si>
  <si>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</si>
  <si>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</si>
  <si>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</si>
  <si>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</si>
  <si>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</si>
  <si>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</si>
  <si>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</si>
  <si>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</si>
  <si>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</si>
  <si>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</si>
  <si>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</si>
  <si>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</si>
  <si>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</si>
  <si>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</si>
  <si>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</si>
  <si>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</si>
  <si>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</si>
  <si>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</si>
  <si>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</si>
  <si>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</si>
  <si>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</si>
  <si>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</si>
  <si>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</si>
  <si>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</si>
  <si>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</si>
  <si>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</si>
  <si>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</si>
  <si>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</si>
  <si>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</si>
  <si>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</si>
  <si>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</si>
  <si>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</si>
  <si>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</si>
  <si>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</si>
  <si>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</si>
  <si>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</si>
  <si>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</si>
  <si>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</si>
  <si>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</si>
  <si>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</si>
  <si>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</si>
  <si>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</si>
  <si>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</si>
  <si>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</si>
  <si>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</si>
  <si>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</si>
  <si>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</si>
  <si>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</si>
  <si>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</si>
  <si>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</si>
  <si>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</si>
  <si>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</si>
  <si>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</si>
  <si>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</si>
  <si>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</si>
  <si>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</si>
  <si>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</si>
  <si>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</si>
  <si>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</si>
  <si>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</si>
  <si>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</si>
  <si>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</si>
  <si>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</si>
  <si>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</si>
  <si>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</si>
  <si>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</si>
  <si>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</si>
  <si>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</si>
  <si>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</si>
  <si>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</si>
  <si>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</si>
  <si>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</si>
  <si>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</si>
  <si>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</si>
  <si>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</si>
  <si>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</si>
  <si>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</si>
  <si>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</si>
  <si>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</si>
  <si>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</si>
  <si>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</si>
  <si>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</si>
  <si>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</si>
  <si>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</si>
  <si>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</si>
  <si>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</si>
  <si>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</si>
  <si>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</si>
  <si>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</si>
  <si>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</si>
  <si>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</si>
  <si>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</si>
  <si>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</si>
  <si>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</si>
  <si>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</si>
  <si>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</si>
  <si>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</si>
  <si>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</si>
  <si>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</si>
  <si>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</si>
  <si>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</si>
  <si>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</si>
  <si>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</si>
  <si>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</si>
  <si>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</si>
  <si>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</si>
  <si>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</si>
  <si>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</si>
  <si>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</si>
  <si>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</si>
  <si>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</si>
  <si>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</si>
  <si>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</si>
  <si>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</si>
  <si>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</si>
  <si>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</si>
  <si>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</si>
  <si>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</si>
  <si>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</si>
  <si>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</si>
  <si>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</si>
  <si>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</si>
  <si>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</si>
  <si>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</si>
  <si>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</si>
  <si>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</si>
  <si>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</si>
  <si>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</si>
  <si>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</si>
  <si>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</si>
  <si>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</si>
  <si>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</si>
  <si>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</si>
  <si>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</si>
  <si>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</si>
  <si>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</si>
  <si>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</si>
  <si>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</si>
  <si>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</si>
  <si>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</si>
  <si>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</si>
  <si>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</si>
  <si>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</si>
  <si>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</si>
  <si>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</si>
  <si>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</si>
  <si>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</si>
  <si>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</si>
  <si>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</si>
  <si>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</si>
  <si>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</si>
  <si>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</si>
  <si>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</si>
  <si>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</si>
  <si>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</si>
  <si>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</si>
  <si>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</si>
  <si>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</si>
  <si>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</si>
  <si>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</si>
  <si>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</si>
  <si>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</si>
  <si>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</si>
  <si>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</si>
  <si>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</si>
  <si>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</si>
  <si>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</si>
  <si>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</si>
  <si>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</si>
  <si>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</si>
  <si>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</si>
  <si>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</si>
  <si>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</si>
  <si>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</si>
  <si>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</si>
  <si>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</si>
  <si>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</si>
  <si>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</si>
  <si>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</si>
  <si>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</si>
  <si>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</si>
  <si>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</si>
  <si>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</si>
  <si>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</si>
  <si>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</si>
  <si>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</si>
  <si>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</si>
  <si>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</si>
  <si>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</si>
  <si>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</si>
  <si>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</si>
  <si>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</si>
  <si>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</si>
  <si>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</si>
  <si>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</si>
  <si>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</si>
  <si>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</si>
  <si>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</si>
  <si>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</si>
  <si>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</si>
  <si>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</si>
  <si>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</si>
  <si>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</si>
  <si>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</si>
  <si>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</si>
  <si>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</si>
  <si>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</si>
  <si>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</si>
  <si>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</si>
  <si>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</si>
  <si>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</si>
  <si>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</si>
  <si>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</si>
  <si>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</si>
  <si>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</si>
  <si>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</si>
  <si>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</si>
  <si>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</si>
  <si>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</si>
  <si>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</si>
  <si>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</si>
  <si>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</si>
  <si>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</si>
  <si>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</si>
  <si>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</si>
  <si>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</si>
  <si>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</si>
  <si>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</si>
  <si>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</si>
  <si>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</si>
  <si>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</si>
  <si>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</si>
  <si>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</si>
  <si>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</si>
  <si>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</si>
  <si>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</si>
  <si>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</si>
  <si>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</si>
  <si>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</si>
  <si>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</si>
  <si>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</si>
  <si>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</si>
  <si>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</si>
  <si>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</si>
  <si>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</si>
  <si>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</si>
  <si>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</si>
  <si>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</si>
  <si>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</si>
  <si>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</si>
  <si>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</si>
  <si>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</si>
  <si>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</si>
  <si>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</si>
  <si>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</si>
  <si>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</si>
  <si>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</si>
  <si>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</si>
  <si>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</si>
  <si>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</si>
  <si>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</si>
  <si>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</si>
  <si>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</si>
  <si>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</si>
  <si>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</si>
  <si>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</si>
  <si>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</si>
  <si>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</si>
  <si>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</si>
  <si>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</si>
  <si>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</si>
  <si>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</si>
  <si>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</si>
  <si>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</si>
  <si>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</si>
  <si>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</si>
  <si>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</si>
  <si>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</si>
  <si>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</si>
  <si>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</si>
  <si>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</si>
  <si>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</si>
  <si>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</si>
  <si>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</si>
  <si>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</si>
  <si>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</si>
  <si>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</si>
  <si>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</si>
  <si>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</si>
  <si>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</si>
  <si>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</si>
  <si>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</si>
  <si>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</si>
  <si>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</si>
  <si>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</si>
  <si>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</si>
  <si>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</si>
  <si>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</si>
  <si>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</si>
  <si>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</si>
  <si>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</si>
  <si>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</si>
  <si>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</si>
  <si>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</si>
  <si>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</si>
  <si>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</si>
  <si>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</si>
  <si>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</si>
  <si>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</si>
  <si>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</si>
  <si>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</si>
  <si>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</si>
  <si>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</si>
  <si>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</si>
  <si>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</si>
  <si>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</si>
  <si>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</si>
  <si>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</si>
  <si>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</si>
  <si>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</si>
  <si>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</si>
  <si>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</si>
  <si>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</si>
  <si>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</si>
  <si>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</si>
  <si>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</si>
  <si>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</si>
  <si>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</si>
  <si>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</si>
  <si>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</si>
  <si>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</si>
  <si>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</si>
  <si>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</si>
  <si>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</si>
  <si>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</si>
  <si>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</si>
  <si>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</si>
  <si>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</si>
  <si>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</si>
  <si>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</si>
  <si>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</si>
  <si>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</si>
  <si>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</si>
  <si>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</si>
  <si>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</si>
  <si>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</si>
  <si>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</si>
  <si>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</si>
  <si>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</si>
  <si>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</si>
  <si>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</si>
  <si>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</si>
  <si>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</si>
  <si>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</si>
  <si>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</si>
  <si>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</si>
  <si>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</si>
  <si>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</si>
  <si>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</si>
  <si>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</si>
  <si>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</si>
  <si>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</si>
  <si>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</si>
  <si>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</si>
  <si>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</si>
  <si>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</si>
  <si>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</si>
  <si>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</si>
  <si>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</si>
  <si>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</si>
  <si>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</si>
  <si>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</si>
  <si>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</si>
  <si>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</si>
  <si>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</si>
  <si>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</si>
  <si>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</si>
  <si>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</si>
  <si>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</si>
  <si>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</si>
  <si>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</si>
  <si>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</si>
  <si>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</si>
  <si>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</si>
  <si>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</si>
  <si>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</si>
  <si>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</si>
  <si>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</si>
  <si>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</si>
  <si>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</si>
  <si>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</si>
  <si>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</si>
  <si>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</si>
  <si>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</si>
  <si>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</si>
  <si>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</si>
  <si>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</si>
  <si>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</si>
  <si>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</si>
  <si>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</si>
  <si>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</si>
  <si>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</si>
  <si>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</si>
  <si>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</si>
  <si>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</si>
  <si>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</si>
  <si>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</si>
  <si>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</si>
  <si>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</si>
  <si>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</si>
  <si>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</si>
  <si>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</si>
  <si>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</si>
  <si>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</si>
  <si>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</si>
  <si>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</si>
  <si>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</si>
  <si>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</si>
  <si>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</si>
  <si>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</si>
  <si>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</si>
  <si>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</si>
  <si>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</si>
  <si>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</si>
  <si>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</si>
  <si>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</si>
  <si>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</si>
  <si>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</si>
  <si>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</si>
  <si>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</si>
  <si>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</si>
  <si>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</si>
  <si>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</si>
  <si>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</si>
  <si>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</si>
  <si>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</si>
  <si>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</si>
  <si>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</si>
  <si>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</si>
  <si>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</si>
  <si>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</si>
  <si>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</si>
  <si>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</si>
  <si>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</si>
  <si>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</si>
  <si>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</si>
  <si>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</si>
  <si>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</si>
  <si>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</si>
  <si>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</si>
  <si>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</si>
  <si>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</si>
  <si>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</si>
  <si>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</si>
  <si>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</si>
  <si>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</si>
  <si>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</si>
  <si>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</si>
  <si>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</si>
  <si>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</si>
  <si>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</si>
  <si>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</si>
  <si>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</si>
  <si>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</si>
  <si>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</si>
  <si>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</si>
  <si>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</si>
  <si>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</si>
  <si>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</si>
  <si>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</si>
  <si>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</si>
  <si>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</si>
  <si>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</si>
  <si>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</si>
  <si>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</si>
  <si>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</si>
  <si>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</si>
  <si>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</si>
  <si>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</si>
  <si>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</si>
  <si>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</si>
  <si>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</si>
  <si>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</si>
  <si>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</si>
  <si>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</si>
  <si>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</si>
  <si>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</si>
  <si>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</si>
  <si>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</si>
  <si>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</si>
  <si>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</si>
  <si>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</si>
  <si>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</si>
  <si>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</si>
  <si>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</si>
  <si>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</si>
  <si>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</si>
  <si>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</si>
  <si>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</si>
  <si>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</si>
  <si>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</si>
  <si>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</si>
  <si>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</si>
  <si>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</si>
  <si>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</si>
  <si>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</si>
  <si>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</si>
  <si>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</si>
  <si>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</si>
  <si>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</si>
  <si>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</si>
  <si>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</si>
  <si>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</si>
  <si>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</si>
  <si>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</si>
  <si>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</si>
  <si>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</si>
  <si>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</si>
  <si>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</si>
  <si>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</si>
  <si>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</si>
  <si>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</si>
  <si>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</si>
  <si>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</si>
  <si>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</si>
  <si>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</si>
  <si>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</si>
  <si>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</si>
  <si>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</si>
  <si>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</si>
  <si>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</si>
  <si>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</si>
  <si>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</si>
  <si>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</si>
  <si>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</si>
  <si>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</si>
  <si>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</si>
  <si>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</si>
  <si>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</si>
  <si>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</si>
  <si>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</si>
  <si>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</si>
  <si>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</si>
  <si>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</si>
  <si>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</si>
  <si>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</si>
  <si>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</si>
  <si>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</si>
  <si>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</si>
  <si>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</si>
  <si>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</si>
  <si>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</si>
  <si>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</si>
  <si>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</si>
  <si>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</si>
  <si>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</si>
  <si>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</si>
  <si>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</si>
  <si>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</si>
  <si>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</si>
  <si>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</si>
  <si>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</si>
  <si>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</si>
  <si>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</si>
  <si>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</si>
  <si>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</si>
  <si>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</si>
  <si>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</si>
  <si>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</si>
  <si>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</si>
  <si>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</si>
  <si>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</si>
  <si>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</si>
  <si>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</si>
  <si>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</si>
  <si>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</si>
  <si>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</si>
  <si>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</si>
  <si>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</si>
  <si>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</si>
  <si>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</si>
  <si>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</si>
  <si>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</si>
  <si>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</si>
  <si>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</si>
  <si>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</si>
  <si>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</si>
  <si>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</si>
  <si>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</si>
  <si>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</si>
  <si>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</si>
  <si>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</si>
  <si>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</si>
  <si>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</si>
  <si>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</si>
  <si>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</si>
  <si>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</si>
  <si>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</si>
  <si>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</si>
  <si>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</si>
  <si>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</si>
  <si>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</si>
  <si>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</si>
  <si>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</si>
  <si>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</si>
  <si>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</si>
  <si>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</si>
  <si>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</si>
  <si>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</si>
  <si>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</si>
  <si>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</si>
  <si>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</si>
  <si>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</si>
  <si>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</si>
  <si>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</si>
  <si>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</si>
  <si>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</si>
  <si>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</si>
  <si>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</si>
  <si>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</si>
  <si>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</si>
  <si>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</si>
  <si>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</si>
  <si>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</si>
  <si>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</si>
  <si>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</si>
  <si>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</si>
  <si>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</si>
  <si>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</si>
  <si>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</si>
  <si>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</si>
  <si>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</si>
  <si>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</si>
  <si>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</si>
  <si>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</si>
  <si>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</si>
  <si>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</si>
  <si>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</si>
  <si>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</si>
  <si>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</si>
  <si>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</si>
  <si>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</si>
  <si>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</si>
  <si>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</si>
  <si>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</si>
  <si>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</si>
  <si>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</si>
  <si>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</si>
  <si>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</si>
  <si>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</si>
  <si>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</si>
  <si>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</si>
  <si>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</si>
  <si>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</si>
  <si>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</si>
  <si>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</si>
  <si>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</si>
  <si>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</si>
  <si>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</si>
  <si>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</si>
  <si>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</si>
  <si>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</si>
  <si>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</si>
  <si>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</si>
  <si>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</si>
  <si>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</si>
  <si>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</si>
  <si>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</si>
  <si>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</si>
  <si>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</si>
  <si>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</si>
  <si>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</si>
  <si>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</si>
  <si>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</si>
  <si>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</si>
  <si>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</si>
  <si>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</si>
  <si>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</si>
  <si>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</si>
  <si>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</si>
  <si>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</si>
  <si>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</si>
  <si>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</si>
  <si>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</si>
  <si>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</si>
  <si>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</si>
  <si>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</si>
  <si>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</si>
  <si>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</si>
  <si>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</si>
  <si>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</si>
  <si>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</si>
  <si>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</si>
  <si>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</si>
  <si>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</si>
  <si>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</si>
  <si>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</si>
  <si>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</si>
  <si>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</si>
  <si>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</si>
  <si>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</si>
  <si>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</si>
  <si>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</si>
  <si>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</si>
  <si>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</si>
  <si>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</si>
  <si>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</si>
  <si>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</si>
  <si>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</si>
  <si>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</si>
  <si>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</si>
  <si>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</si>
  <si>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</si>
  <si>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</si>
  <si>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</si>
  <si>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</si>
  <si>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</si>
  <si>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</si>
  <si>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</si>
  <si>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</si>
  <si>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</si>
  <si>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</si>
  <si>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</si>
  <si>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</si>
  <si>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</si>
  <si>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</si>
  <si>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</si>
  <si>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</si>
  <si>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</si>
  <si>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</si>
  <si>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</si>
  <si>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</si>
  <si>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</si>
  <si>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</si>
  <si>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</si>
  <si>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</si>
  <si>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</si>
  <si>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</si>
  <si>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</si>
  <si>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</si>
  <si>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</si>
  <si>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</si>
  <si>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</si>
  <si>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</si>
  <si>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</si>
  <si>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</si>
  <si>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</si>
  <si>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</si>
  <si>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</si>
  <si>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</si>
  <si>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</si>
  <si>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</si>
  <si>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</si>
  <si>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</si>
  <si>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</si>
  <si>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</si>
  <si>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</si>
  <si>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</si>
  <si>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</si>
  <si>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</si>
  <si>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</si>
  <si>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</si>
  <si>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</si>
  <si>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</si>
  <si>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</si>
  <si>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</si>
  <si>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</si>
  <si>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</si>
  <si>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</si>
  <si>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</si>
  <si>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</si>
  <si>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</si>
  <si>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</si>
  <si>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</si>
  <si>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</si>
  <si>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</si>
  <si>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</si>
  <si>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</si>
  <si>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</si>
  <si>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</si>
  <si>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</si>
  <si>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</si>
  <si>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</si>
  <si>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</si>
  <si>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</si>
  <si>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</si>
  <si>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</si>
  <si>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</si>
  <si>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</si>
  <si>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</si>
  <si>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</si>
  <si>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</si>
  <si>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</si>
  <si>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</si>
  <si>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</si>
  <si>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</si>
  <si>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</si>
  <si>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</si>
  <si>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</si>
  <si>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</si>
  <si>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</si>
  <si>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</si>
  <si>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</si>
  <si>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</si>
  <si>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</si>
  <si>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</si>
  <si>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</si>
  <si>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</si>
  <si>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</si>
  <si>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</si>
  <si>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</si>
  <si>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</si>
  <si>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</si>
  <si>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</si>
  <si>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</si>
  <si>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</si>
  <si>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</si>
  <si>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</si>
  <si>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</si>
  <si>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</si>
  <si>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</si>
  <si>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</si>
  <si>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</si>
  <si>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</si>
  <si>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</si>
  <si>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</si>
  <si>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</si>
  <si>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</si>
  <si>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</si>
  <si>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</si>
  <si>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</si>
  <si>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</si>
  <si>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</si>
  <si>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</si>
  <si>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</si>
  <si>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</si>
  <si>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</si>
  <si>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</si>
  <si>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</si>
  <si>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</si>
  <si>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</si>
  <si>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</si>
  <si>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</si>
  <si>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</si>
  <si>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</si>
  <si>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</si>
  <si>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</si>
  <si>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</si>
  <si>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</si>
  <si>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</si>
  <si>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</si>
  <si>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</si>
  <si>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</si>
  <si>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</si>
  <si>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</si>
  <si>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</si>
  <si>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</si>
  <si>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</si>
  <si>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</si>
  <si>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</si>
  <si>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</si>
  <si>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</si>
  <si>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</si>
  <si>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</si>
  <si>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</si>
  <si>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</si>
  <si>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</si>
  <si>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</si>
  <si>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</si>
  <si>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</si>
  <si>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</si>
  <si>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</si>
  <si>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</si>
  <si>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</si>
  <si>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</si>
  <si>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</si>
  <si>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</si>
  <si>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</si>
  <si>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</si>
  <si>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</si>
  <si>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</si>
  <si>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</si>
  <si>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</si>
  <si>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</si>
  <si>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</si>
  <si>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</si>
  <si>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</si>
  <si>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</si>
  <si>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</si>
  <si>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</si>
  <si>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</si>
  <si>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</si>
  <si>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</si>
  <si>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</si>
  <si>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</si>
  <si>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</si>
  <si>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</si>
  <si>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</si>
  <si>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</si>
  <si>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</si>
  <si>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</si>
  <si>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</si>
  <si>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</si>
  <si>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</si>
  <si>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</si>
  <si>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</si>
  <si>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</si>
  <si>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</si>
  <si>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</si>
  <si>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</si>
  <si>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</si>
  <si>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</si>
  <si>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</si>
  <si>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</si>
  <si>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</si>
  <si>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</si>
  <si>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</si>
  <si>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</si>
  <si>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</si>
  <si>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</si>
  <si>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</si>
  <si>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</si>
  <si>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</si>
  <si>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</si>
  <si>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</si>
  <si>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</si>
  <si>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</si>
  <si>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</si>
  <si>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</si>
  <si>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</si>
  <si>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</si>
  <si>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</si>
  <si>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</si>
  <si>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</si>
  <si>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</si>
  <si>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</si>
  <si>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</si>
  <si>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</si>
  <si>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</si>
  <si>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</si>
  <si>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</si>
  <si>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</si>
  <si>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</si>
  <si>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</si>
  <si>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</si>
  <si>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</si>
  <si>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</si>
  <si>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</si>
  <si>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</si>
  <si>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</si>
  <si>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</si>
  <si>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</si>
  <si>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</si>
  <si>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</si>
  <si>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</si>
  <si>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</si>
  <si>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</si>
  <si>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</si>
  <si>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</si>
  <si>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</si>
  <si>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</si>
  <si>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</si>
  <si>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</si>
  <si>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</si>
  <si>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</si>
  <si>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</si>
  <si>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</si>
  <si>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</si>
  <si>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</si>
  <si>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</si>
  <si>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</si>
  <si>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</si>
  <si>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</si>
  <si>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</si>
  <si>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</si>
  <si>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</si>
  <si>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</si>
  <si>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</si>
  <si>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</si>
  <si>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</si>
  <si>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</si>
  <si>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</si>
  <si>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</si>
  <si>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</si>
  <si>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</si>
  <si>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</si>
  <si>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</si>
  <si>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</si>
  <si>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</si>
  <si>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</si>
  <si>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</si>
  <si>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</si>
  <si>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</si>
  <si>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</si>
  <si>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</si>
  <si>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</si>
  <si>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</si>
  <si>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</si>
  <si>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</si>
  <si>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</si>
  <si>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</si>
  <si>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</si>
  <si>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</si>
  <si>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</si>
  <si>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</si>
  <si>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</si>
  <si>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</si>
  <si>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</si>
  <si>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</si>
  <si>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</si>
  <si>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</si>
  <si>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</si>
  <si>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</si>
  <si>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</si>
  <si>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</si>
  <si>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</si>
  <si>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</si>
  <si>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</si>
  <si>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</si>
  <si>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</si>
  <si>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</si>
  <si>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</si>
  <si>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</si>
  <si>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</si>
  <si>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</si>
  <si>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</si>
  <si>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</si>
  <si>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</si>
  <si>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</si>
  <si>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</si>
  <si>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</si>
  <si>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</si>
  <si>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</si>
  <si>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</si>
  <si>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</si>
  <si>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</si>
  <si>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</si>
  <si>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</si>
  <si>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</si>
  <si>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</si>
  <si>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</si>
  <si>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</si>
  <si>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</si>
  <si>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</si>
  <si>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</si>
  <si>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</si>
  <si>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</si>
  <si>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</si>
  <si>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</si>
  <si>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</si>
  <si>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</si>
  <si>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</si>
  <si>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</si>
  <si>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</si>
  <si>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</si>
  <si>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</si>
  <si>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</si>
  <si>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</si>
  <si>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</si>
  <si>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</si>
  <si>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</si>
  <si>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</si>
  <si>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</si>
  <si>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</si>
  <si>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</si>
  <si>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</si>
  <si>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</si>
  <si>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</si>
  <si>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</si>
  <si>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</si>
  <si>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</si>
  <si>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</si>
  <si>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</si>
  <si>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</si>
  <si>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</si>
  <si>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</si>
  <si>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</si>
  <si>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</si>
  <si>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</si>
  <si>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</si>
  <si>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</si>
  <si>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</si>
  <si>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</si>
  <si>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</si>
  <si>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</si>
  <si>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</si>
  <si>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</si>
  <si>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</si>
  <si>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</si>
  <si>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</si>
  <si>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</si>
  <si>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</si>
  <si>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</si>
  <si>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</si>
  <si>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</si>
  <si>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</si>
  <si>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</si>
  <si>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</si>
  <si>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</si>
  <si>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</si>
  <si>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</si>
  <si>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</si>
  <si>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</si>
  <si>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</si>
  <si>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</si>
  <si>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</si>
  <si>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</si>
  <si>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</si>
  <si>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</si>
  <si>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</si>
  <si>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</si>
  <si>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</si>
  <si>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</si>
  <si>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</si>
  <si>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</si>
  <si>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</si>
  <si>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</si>
  <si>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</si>
  <si>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</si>
  <si>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</si>
  <si>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</si>
  <si>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</si>
  <si>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</si>
  <si>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</si>
  <si>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</si>
  <si>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</si>
  <si>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</si>
  <si>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</si>
  <si>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</si>
  <si>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</si>
  <si>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</si>
  <si>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</si>
  <si>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</si>
  <si>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</si>
  <si>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</si>
  <si>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</si>
  <si>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</si>
  <si>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</si>
  <si>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</si>
  <si>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</si>
  <si>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</si>
  <si>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</si>
  <si>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</si>
  <si>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</si>
  <si>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</si>
  <si>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</si>
  <si>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</si>
  <si>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</si>
  <si>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</si>
  <si>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</si>
  <si>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</si>
  <si>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</si>
  <si>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</si>
  <si>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</si>
  <si>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</si>
  <si>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</si>
  <si>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</si>
  <si>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</si>
  <si>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</si>
  <si>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</si>
  <si>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</si>
  <si>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</si>
  <si>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</si>
  <si>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</si>
  <si>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</si>
  <si>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</si>
  <si>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</si>
  <si>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</si>
  <si>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</si>
  <si>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</si>
  <si>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</si>
  <si>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</si>
  <si>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</si>
  <si>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</si>
  <si>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</si>
  <si>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</si>
  <si>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</si>
  <si>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</si>
  <si>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</si>
  <si>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</si>
  <si>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</si>
  <si>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</si>
  <si>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</si>
  <si>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</si>
  <si>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</si>
  <si>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</si>
  <si>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</si>
  <si>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</si>
  <si>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</si>
  <si>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</si>
  <si>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</si>
  <si>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</si>
  <si>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</si>
  <si>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</si>
  <si>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</si>
  <si>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</si>
  <si>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</si>
  <si>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</si>
  <si>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</si>
  <si>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</si>
  <si>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</si>
  <si>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</si>
  <si>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</si>
  <si>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</si>
  <si>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</si>
  <si>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</si>
  <si>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</si>
  <si>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</si>
  <si>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</si>
  <si>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</si>
  <si>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</si>
  <si>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</si>
  <si>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</si>
  <si>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</si>
  <si>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</si>
  <si>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</si>
  <si>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</si>
  <si>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</si>
  <si>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</si>
  <si>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</si>
  <si>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</si>
  <si>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</si>
  <si>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</si>
  <si>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</si>
  <si>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</si>
  <si>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</si>
  <si>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</si>
  <si>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</si>
  <si>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</si>
  <si>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</si>
  <si>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</si>
  <si>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</si>
  <si>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</si>
  <si>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</si>
  <si>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</si>
  <si>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</si>
  <si>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</si>
  <si>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</si>
  <si>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</si>
  <si>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</si>
  <si>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</si>
  <si>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</si>
  <si>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</si>
  <si>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</si>
  <si>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</si>
  <si>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</si>
  <si>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</si>
  <si>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</si>
  <si>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</si>
  <si>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</si>
  <si>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</si>
  <si>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</si>
  <si>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</si>
  <si>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</si>
  <si>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</si>
  <si>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</si>
  <si>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</si>
  <si>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</si>
  <si>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</si>
  <si>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</si>
  <si>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</si>
  <si>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</si>
  <si>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</si>
  <si>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</si>
  <si>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</si>
  <si>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</si>
  <si>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</si>
  <si>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</si>
  <si>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</si>
  <si>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</si>
  <si>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</si>
  <si>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</si>
  <si>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</si>
  <si>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</si>
  <si>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</si>
  <si>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</si>
  <si>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</si>
  <si>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</si>
  <si>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</si>
  <si>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</si>
  <si>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</si>
  <si>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</si>
  <si>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</si>
  <si>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</si>
  <si>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</si>
  <si>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</si>
  <si>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</si>
  <si>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</si>
  <si>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</si>
  <si>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</si>
  <si>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</si>
  <si>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</si>
  <si>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</si>
  <si>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</si>
  <si>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</si>
  <si>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</si>
  <si>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</si>
  <si>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</si>
  <si>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</si>
  <si>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</si>
  <si>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</si>
  <si>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</si>
  <si>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</si>
  <si>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</si>
  <si>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</si>
  <si>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</si>
  <si>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</si>
  <si>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</si>
  <si>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</si>
  <si>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</si>
  <si>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</si>
  <si>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</si>
  <si>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</si>
  <si>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</si>
  <si>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</si>
  <si>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</si>
  <si>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</si>
  <si>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</si>
  <si>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</si>
  <si>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</si>
  <si>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</si>
  <si>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</si>
  <si>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</si>
  <si>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</si>
  <si>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</si>
  <si>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</si>
  <si>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</si>
  <si>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</si>
  <si>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</si>
  <si>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</si>
  <si>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</si>
  <si>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</si>
  <si>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</si>
  <si>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</si>
  <si>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</si>
  <si>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</si>
  <si>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</si>
  <si>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</si>
  <si>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</si>
  <si>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</si>
  <si>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</si>
  <si>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</si>
  <si>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</si>
  <si>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</si>
  <si>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</si>
  <si>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</si>
  <si>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</si>
  <si>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</si>
  <si>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</si>
  <si>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</si>
  <si>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</si>
  <si>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</si>
  <si>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</si>
  <si>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</si>
  <si>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</si>
  <si>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</si>
  <si>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</si>
  <si>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</si>
  <si>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</si>
  <si>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</si>
  <si>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</si>
  <si>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</si>
  <si>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</si>
  <si>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</si>
  <si>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</si>
  <si>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</si>
  <si>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</si>
  <si>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</si>
  <si>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</si>
  <si>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</si>
  <si>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</si>
  <si>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</si>
  <si>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</si>
  <si>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</si>
  <si>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</si>
  <si>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</si>
  <si>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</si>
  <si>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</si>
  <si>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</si>
  <si>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</si>
  <si>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</si>
  <si>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</si>
  <si>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</si>
  <si>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</si>
  <si>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</si>
  <si>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</si>
  <si>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</si>
  <si>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</si>
  <si>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</si>
  <si>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</si>
  <si>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</si>
  <si>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</si>
  <si>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</si>
  <si>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</si>
  <si>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</si>
  <si>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</si>
  <si>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</si>
  <si>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</si>
  <si>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</si>
  <si>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</si>
  <si>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</si>
  <si>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</si>
  <si>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</si>
  <si>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</si>
  <si>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</si>
  <si>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</si>
  <si>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</si>
  <si>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</si>
  <si>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</si>
  <si>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</si>
  <si>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</si>
  <si>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</si>
  <si>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</si>
  <si>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</si>
  <si>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</si>
  <si>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</si>
  <si>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</si>
  <si>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</si>
  <si>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</si>
  <si>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</si>
  <si>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</si>
  <si>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</si>
  <si>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</si>
  <si>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</si>
  <si>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</si>
  <si>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</si>
  <si>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</si>
  <si>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</si>
  <si>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</si>
  <si>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</si>
  <si>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</si>
  <si>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</si>
  <si>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</si>
  <si>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</si>
  <si>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</si>
  <si>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</si>
  <si>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</si>
  <si>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</si>
  <si>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</si>
  <si>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</si>
  <si>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</si>
  <si>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</si>
  <si>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</si>
  <si>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</si>
  <si>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</si>
  <si>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</si>
  <si>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</si>
  <si>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</si>
  <si>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</si>
  <si>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</si>
  <si>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</si>
  <si>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</si>
  <si>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</si>
  <si>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</si>
  <si>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</si>
  <si>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</si>
  <si>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</si>
  <si>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</si>
  <si>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</si>
  <si>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</si>
  <si>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</si>
  <si>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</si>
  <si>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</si>
  <si>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</si>
  <si>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</si>
  <si>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</si>
  <si>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</si>
  <si>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</si>
  <si>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</si>
  <si>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</si>
  <si>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</si>
  <si>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</si>
  <si>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</si>
  <si>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</si>
  <si>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</si>
  <si>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</si>
  <si>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</si>
  <si>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</si>
  <si>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</si>
  <si>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</si>
  <si>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</si>
  <si>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</si>
  <si>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</si>
  <si>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</si>
  <si>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</si>
  <si>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</si>
  <si>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</si>
  <si>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</si>
  <si>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</si>
  <si>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</si>
  <si>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</si>
  <si>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</si>
  <si>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</si>
  <si>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</si>
  <si>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</si>
  <si>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</si>
  <si>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</si>
  <si>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</si>
  <si>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</si>
  <si>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</si>
  <si>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</si>
  <si>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</si>
  <si>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</si>
  <si>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</si>
  <si>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</si>
  <si>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</si>
  <si>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</si>
  <si>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</si>
  <si>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</si>
  <si>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</si>
  <si>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</si>
  <si>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</si>
  <si>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</si>
  <si>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</si>
  <si>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</si>
  <si>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</si>
  <si>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</si>
  <si>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</si>
  <si>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</si>
  <si>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</si>
  <si>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</si>
  <si>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</si>
  <si>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</si>
  <si>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</si>
  <si>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</si>
  <si>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</si>
  <si>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</si>
  <si>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</si>
  <si>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</si>
  <si>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</si>
  <si>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</si>
  <si>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</si>
  <si>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</si>
  <si>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</si>
  <si>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</si>
  <si>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</si>
  <si>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</si>
  <si>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</si>
  <si>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</si>
  <si>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</si>
  <si>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</si>
  <si>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</si>
  <si>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</si>
  <si>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</si>
  <si>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</si>
  <si>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</si>
  <si>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</si>
  <si>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</si>
  <si>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</si>
  <si>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</si>
  <si>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</si>
  <si>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</si>
  <si>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</si>
  <si>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</si>
  <si>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</si>
  <si>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</si>
  <si>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</si>
  <si>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</si>
  <si>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</si>
  <si>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</si>
  <si>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</si>
  <si>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</si>
  <si>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</si>
  <si>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</si>
  <si>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</si>
  <si>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</si>
  <si>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</si>
  <si>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</si>
  <si>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</si>
  <si>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</si>
  <si>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</si>
  <si>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</si>
  <si>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</si>
  <si>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</si>
  <si>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</si>
  <si>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</si>
  <si>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</si>
  <si>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</si>
  <si>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</si>
  <si>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</si>
  <si>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</si>
  <si>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</si>
  <si>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</si>
  <si>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</si>
  <si>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</si>
  <si>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</si>
  <si>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</si>
  <si>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</si>
  <si>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</si>
  <si>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</si>
  <si>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</si>
  <si>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</si>
  <si>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</si>
  <si>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</si>
  <si>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</si>
  <si>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</si>
  <si>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</si>
  <si>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</si>
  <si>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</si>
  <si>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</si>
  <si>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</si>
  <si>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</si>
  <si>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</si>
  <si>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</si>
  <si>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</si>
  <si>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</si>
  <si>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</si>
  <si>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</si>
  <si>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</si>
  <si>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</si>
  <si>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</si>
  <si>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</si>
  <si>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</si>
  <si>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</si>
  <si>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</si>
  <si>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</si>
  <si>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</si>
  <si>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</si>
  <si>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</si>
  <si>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</si>
  <si>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</si>
  <si>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</si>
  <si>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</si>
  <si>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</si>
  <si>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</si>
  <si>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</si>
  <si>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</si>
  <si>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</si>
  <si>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</si>
  <si>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</si>
  <si>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</si>
  <si>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</si>
  <si>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</si>
  <si>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</si>
  <si>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</si>
  <si>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</si>
  <si>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</si>
  <si>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</si>
  <si>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</si>
  <si>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</si>
  <si>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</si>
  <si>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</si>
  <si>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</si>
  <si>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</si>
  <si>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</si>
  <si>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</si>
  <si>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</si>
  <si>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</si>
  <si>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</si>
  <si>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</si>
  <si>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</si>
  <si>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</si>
  <si>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</si>
  <si>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</si>
  <si>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</si>
  <si>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</si>
  <si>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</si>
  <si>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</si>
  <si>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</si>
  <si>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</si>
  <si>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</si>
  <si>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</si>
  <si>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</si>
  <si>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</si>
  <si>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</si>
  <si>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</si>
  <si>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</si>
  <si>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</si>
  <si>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</si>
  <si>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</si>
  <si>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</si>
  <si>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</si>
  <si>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</si>
  <si>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</si>
  <si>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</si>
  <si>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</si>
  <si>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</si>
  <si>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</si>
  <si>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</si>
  <si>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</si>
  <si>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</si>
  <si>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</si>
  <si>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</si>
  <si>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</si>
  <si>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</si>
  <si>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</si>
  <si>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</si>
  <si>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</si>
  <si>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</si>
  <si>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</si>
  <si>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</si>
  <si>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</si>
  <si>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</si>
  <si>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</si>
  <si>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</si>
  <si>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</si>
  <si>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</si>
  <si>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</si>
  <si>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</si>
  <si>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</si>
  <si>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</si>
  <si>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</si>
  <si>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</si>
  <si>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</si>
  <si>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</si>
  <si>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</si>
  <si>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</si>
  <si>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</si>
  <si>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</si>
  <si>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</si>
  <si>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</si>
  <si>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</si>
  <si>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</si>
  <si>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</si>
  <si>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</si>
  <si>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</si>
  <si>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</si>
  <si>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</si>
  <si>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</si>
  <si>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</si>
  <si>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</si>
  <si>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</si>
  <si>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</si>
  <si>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</si>
  <si>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</si>
  <si>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</si>
  <si>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</si>
  <si>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</si>
  <si>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</si>
  <si>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</si>
  <si>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</si>
  <si>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</si>
  <si>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</si>
  <si>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</si>
  <si>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</si>
  <si>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</si>
  <si>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</si>
  <si>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</si>
  <si>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</si>
  <si>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</si>
  <si>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</si>
  <si>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</si>
  <si>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</si>
  <si>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</si>
  <si>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</si>
  <si>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</si>
  <si>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</si>
  <si>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</si>
  <si>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</si>
  <si>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</si>
  <si>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</si>
  <si>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</si>
  <si>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</si>
  <si>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</si>
  <si>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</si>
  <si>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</si>
  <si>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</si>
  <si>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</si>
  <si>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</si>
  <si>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</si>
  <si>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</si>
  <si>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</si>
  <si>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</si>
  <si>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</si>
  <si>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</si>
  <si>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</si>
  <si>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</si>
  <si>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</si>
  <si>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</si>
  <si>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</si>
  <si>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</si>
  <si>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</si>
  <si>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</si>
  <si>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</si>
  <si>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</si>
  <si>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</si>
  <si>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</si>
  <si>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</si>
  <si>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</si>
  <si>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</si>
  <si>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</si>
  <si>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</si>
  <si>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</si>
  <si>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</si>
  <si>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</si>
  <si>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</si>
  <si>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</si>
  <si>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</si>
  <si>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</si>
  <si>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</si>
  <si>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</si>
  <si>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</si>
  <si>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</si>
  <si>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</si>
  <si>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</si>
  <si>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</si>
  <si>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</si>
  <si>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</si>
  <si>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</si>
  <si>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</si>
  <si>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</si>
  <si>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</si>
  <si>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</si>
  <si>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</si>
  <si>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</si>
  <si>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</si>
  <si>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</si>
  <si>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</si>
  <si>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</si>
  <si>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</si>
  <si>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</si>
  <si>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</si>
  <si>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</si>
  <si>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</si>
  <si>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</si>
  <si>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</si>
  <si>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</si>
  <si>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</si>
  <si>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</si>
  <si>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</si>
  <si>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</si>
  <si>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</si>
  <si>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</si>
  <si>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</si>
  <si>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</si>
  <si>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</si>
  <si>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</si>
  <si>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</si>
  <si>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</si>
  <si>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</si>
  <si>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</si>
  <si>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</si>
  <si>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</si>
  <si>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</si>
  <si>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</si>
  <si>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</si>
  <si>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</si>
  <si>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</si>
  <si>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</si>
  <si>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</si>
  <si>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</si>
  <si>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</si>
  <si>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</si>
  <si>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</si>
  <si>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</si>
  <si>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</si>
  <si>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</si>
  <si>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</si>
  <si>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</si>
  <si>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</si>
  <si>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</si>
  <si>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</si>
  <si>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</si>
  <si>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</si>
  <si>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</si>
  <si>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</si>
  <si>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</si>
  <si>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</si>
  <si>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</si>
  <si>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</si>
  <si>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</si>
  <si>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</si>
  <si>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</si>
  <si>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</si>
  <si>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</si>
  <si>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</si>
  <si>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</si>
  <si>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</si>
  <si>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</si>
  <si>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</si>
  <si>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</si>
  <si>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</si>
  <si>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</si>
  <si>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</si>
  <si>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</si>
  <si>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</si>
  <si>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</si>
  <si>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</si>
  <si>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</si>
  <si>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</si>
  <si>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</si>
  <si>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</si>
  <si>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</si>
  <si>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</si>
  <si>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</si>
  <si>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</si>
  <si>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</si>
  <si>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</si>
  <si>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</si>
  <si>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</si>
  <si>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</si>
  <si>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</si>
  <si>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</si>
  <si>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</si>
  <si>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</si>
  <si>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</si>
  <si>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</si>
  <si>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</si>
  <si>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</si>
  <si>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</si>
  <si>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</si>
  <si>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</si>
  <si>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</si>
  <si>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</si>
  <si>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</si>
  <si>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</si>
  <si>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</si>
  <si>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</si>
  <si>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</si>
  <si>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</si>
  <si>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</si>
  <si>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</si>
  <si>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</si>
  <si>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</si>
  <si>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</si>
  <si>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</si>
  <si>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</si>
  <si>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</si>
  <si>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</si>
  <si>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</si>
  <si>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</si>
  <si>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</si>
  <si>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</si>
  <si>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</si>
  <si>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</si>
  <si>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</si>
  <si>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</si>
  <si>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</si>
  <si>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</si>
  <si>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</si>
  <si>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</si>
  <si>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</si>
  <si>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</si>
  <si>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</si>
  <si>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</si>
  <si>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</si>
  <si>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</si>
  <si>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</si>
  <si>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</si>
  <si>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</si>
  <si>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</si>
  <si>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</si>
  <si>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</si>
  <si>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</si>
  <si>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</si>
  <si>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</si>
  <si>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</si>
  <si>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</si>
  <si>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</si>
  <si>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</si>
  <si>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</si>
  <si>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</si>
  <si>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</si>
  <si>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</si>
  <si>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</si>
  <si>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</si>
  <si>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</si>
  <si>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</si>
  <si>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</si>
  <si>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</si>
  <si>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</si>
  <si>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</si>
  <si>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</si>
  <si>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</si>
  <si>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</si>
  <si>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</si>
  <si>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</si>
  <si>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</si>
  <si>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</si>
  <si>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</si>
  <si>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</si>
  <si>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</si>
  <si>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</si>
  <si>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</si>
  <si>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</si>
  <si>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</si>
  <si>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</si>
  <si>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</si>
  <si>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</si>
  <si>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</si>
  <si>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</si>
  <si>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</si>
  <si>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</si>
  <si>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</si>
  <si>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</si>
  <si>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</si>
  <si>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</si>
  <si>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</si>
  <si>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</si>
  <si>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</si>
  <si>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</si>
  <si>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</si>
  <si>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</si>
  <si>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</si>
  <si>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</si>
  <si>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</si>
  <si>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</si>
  <si>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</si>
  <si>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</si>
  <si>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</si>
  <si>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</si>
  <si>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</si>
  <si>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</si>
  <si>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</si>
  <si>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</si>
  <si>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</si>
  <si>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</si>
  <si>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</si>
  <si>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</si>
  <si>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</si>
  <si>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</si>
  <si>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</si>
  <si>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</si>
  <si>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</si>
  <si>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</si>
  <si>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</si>
  <si>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</si>
  <si>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</si>
  <si>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</si>
  <si>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</si>
  <si>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</si>
  <si>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</si>
  <si>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</si>
  <si>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</si>
  <si>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</si>
  <si>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</si>
  <si>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</si>
  <si>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</si>
  <si>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</si>
  <si>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</si>
  <si>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</si>
  <si>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</si>
  <si>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</si>
  <si>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</si>
  <si>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</si>
  <si>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</si>
  <si>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</si>
  <si>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</si>
  <si>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</si>
  <si>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</si>
  <si>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</si>
  <si>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</si>
  <si>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</si>
  <si>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</si>
  <si>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</si>
  <si>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</si>
  <si>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</si>
  <si>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</si>
  <si>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</si>
  <si>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</si>
  <si>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</si>
  <si>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</si>
  <si>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</si>
  <si>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</si>
  <si>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</si>
  <si>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</si>
  <si>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</si>
  <si>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</si>
  <si>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</si>
  <si>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</si>
  <si>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</si>
  <si>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</si>
  <si>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</si>
  <si>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</si>
  <si>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</si>
  <si>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</si>
  <si>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</si>
  <si>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</si>
  <si>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</si>
  <si>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</si>
  <si>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</si>
  <si>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</si>
  <si>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</si>
  <si>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</si>
  <si>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</si>
  <si>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</si>
  <si>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</si>
  <si>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</si>
  <si>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</si>
  <si>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</si>
  <si>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</si>
  <si>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</si>
  <si>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</si>
  <si>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</si>
  <si>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</si>
  <si>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</si>
  <si>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</si>
  <si>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</si>
  <si>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</si>
  <si>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</si>
  <si>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</si>
  <si>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</si>
  <si>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</si>
  <si>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</si>
  <si>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</si>
  <si>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</si>
  <si>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</si>
  <si>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</si>
  <si>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</si>
  <si>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</si>
  <si>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</si>
  <si>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</si>
  <si>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</si>
  <si>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</si>
  <si>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</si>
  <si>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</si>
  <si>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</si>
  <si>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</si>
  <si>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</si>
  <si>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</si>
  <si>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</si>
  <si>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</si>
  <si>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</si>
  <si>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</si>
  <si>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</si>
  <si>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</si>
  <si>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</si>
  <si>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</si>
  <si>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</si>
  <si>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</si>
  <si>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</si>
  <si>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</si>
  <si>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</si>
  <si>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</si>
  <si>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</si>
  <si>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</si>
  <si>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</si>
  <si>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</si>
  <si>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</si>
  <si>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</si>
  <si>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</si>
  <si>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</si>
  <si>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</si>
  <si>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</si>
  <si>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</si>
  <si>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</si>
  <si>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</si>
  <si>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</si>
  <si>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</si>
  <si>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</si>
  <si>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</si>
  <si>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</si>
  <si>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</si>
  <si>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</si>
  <si>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</si>
  <si>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</si>
  <si>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</si>
  <si>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</si>
  <si>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</si>
  <si>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</si>
  <si>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</si>
  <si>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</si>
  <si>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</si>
  <si>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</si>
  <si>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</si>
  <si>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</si>
  <si>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</si>
  <si>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</si>
  <si>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</si>
  <si>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</si>
  <si>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</si>
  <si>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</si>
  <si>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</si>
  <si>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</si>
  <si>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</si>
  <si>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</si>
  <si>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</si>
  <si>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</si>
  <si>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</si>
  <si>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</si>
  <si>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</si>
  <si>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</si>
  <si>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</si>
  <si>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</si>
  <si>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</si>
  <si>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</si>
  <si>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</si>
  <si>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</si>
  <si>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</si>
  <si>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</si>
  <si>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</si>
  <si>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</si>
  <si>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</si>
  <si>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</si>
  <si>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</si>
  <si>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</si>
  <si>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</si>
  <si>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</si>
  <si>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</si>
  <si>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</si>
  <si>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</si>
  <si>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</si>
  <si>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</si>
  <si>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</si>
  <si>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</si>
  <si>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</si>
  <si>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</si>
  <si>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</si>
  <si>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</si>
  <si>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</si>
  <si>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</si>
  <si>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</si>
  <si>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</si>
  <si>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</si>
  <si>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</si>
  <si>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</si>
  <si>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</si>
  <si>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</si>
  <si>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</si>
  <si>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</si>
  <si>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</si>
  <si>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</si>
  <si>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</si>
  <si>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</si>
  <si>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</si>
  <si>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</si>
  <si>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</si>
  <si>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</si>
  <si>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</si>
  <si>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</si>
  <si>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</si>
  <si>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</si>
  <si>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</si>
  <si>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</si>
  <si>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</si>
  <si>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</si>
  <si>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</si>
  <si>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</si>
  <si>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</si>
  <si>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</si>
  <si>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</si>
  <si>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</si>
  <si>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</si>
  <si>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</si>
  <si>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</si>
  <si>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</si>
  <si>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</si>
  <si>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</si>
  <si>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</si>
  <si>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</si>
  <si>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</si>
  <si>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</si>
  <si>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</si>
  <si>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</si>
  <si>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</si>
  <si>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</si>
  <si>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</si>
  <si>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</si>
  <si>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</si>
  <si>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</si>
  <si>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</si>
  <si>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</si>
  <si>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</si>
  <si>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</si>
  <si>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</si>
  <si>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</si>
  <si>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</si>
  <si>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</si>
  <si>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</si>
  <si>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</si>
  <si>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</si>
  <si>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</si>
  <si>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</si>
  <si>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</si>
  <si>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</si>
  <si>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</si>
  <si>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</si>
  <si>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</si>
  <si>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</si>
  <si>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</si>
  <si>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</si>
  <si>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</si>
  <si>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</si>
  <si>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</si>
  <si>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</si>
  <si>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</si>
  <si>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</si>
  <si>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</si>
  <si>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</si>
  <si>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</si>
  <si>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</si>
  <si>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</si>
  <si>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</si>
  <si>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</si>
  <si>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</si>
  <si>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</si>
  <si>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</si>
  <si>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</si>
  <si>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</si>
  <si>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</si>
  <si>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</si>
  <si>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</si>
  <si>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</si>
  <si>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</si>
  <si>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</si>
  <si>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</si>
  <si>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</si>
  <si>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</si>
  <si>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</si>
  <si>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</si>
  <si>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</si>
  <si>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</si>
  <si>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</si>
  <si>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</si>
  <si>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</si>
  <si>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</si>
  <si>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</si>
  <si>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</si>
  <si>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</si>
  <si>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</si>
  <si>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</si>
  <si>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</si>
  <si>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</si>
  <si>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</si>
  <si>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</si>
  <si>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</si>
  <si>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</si>
  <si>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</si>
  <si>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</si>
  <si>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</si>
  <si>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</si>
  <si>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</si>
  <si>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</si>
  <si>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</si>
  <si>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</si>
  <si>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</si>
  <si>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</si>
  <si>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</si>
  <si>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</si>
  <si>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</si>
  <si>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</si>
  <si>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</si>
  <si>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</si>
  <si>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</si>
  <si>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</si>
  <si>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</si>
  <si>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</si>
  <si>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</si>
  <si>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</si>
  <si>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</si>
  <si>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</si>
  <si>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</si>
  <si>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</si>
  <si>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</si>
  <si>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</si>
  <si>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</si>
  <si>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</si>
  <si>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</si>
  <si>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</si>
  <si>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</si>
  <si>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</si>
  <si>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</si>
  <si>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</si>
  <si>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</si>
  <si>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</si>
  <si>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</si>
  <si>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</si>
  <si>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</si>
  <si>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</si>
  <si>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</si>
  <si>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</si>
  <si>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</si>
  <si>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</si>
  <si>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</si>
  <si>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</si>
  <si>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</si>
  <si>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</si>
  <si>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</si>
  <si>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</si>
  <si>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</si>
  <si>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</si>
  <si>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</si>
  <si>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</si>
  <si>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</si>
  <si>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</si>
  <si>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</si>
  <si>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</si>
  <si>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</si>
  <si>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</si>
  <si>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</si>
  <si>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</si>
  <si>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</si>
  <si>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</si>
  <si>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</si>
  <si>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</si>
  <si>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</si>
  <si>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</si>
  <si>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</si>
  <si>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</si>
  <si>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</si>
  <si>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</si>
  <si>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</si>
  <si>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</si>
  <si>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</si>
  <si>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</si>
  <si>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</si>
  <si>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</si>
  <si>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</si>
  <si>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</si>
  <si>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</si>
  <si>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</si>
  <si>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</si>
  <si>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</si>
  <si>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</si>
  <si>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</si>
  <si>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</si>
  <si>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</si>
  <si>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</si>
  <si>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</si>
  <si>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</si>
  <si>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</si>
  <si>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</si>
  <si>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</si>
  <si>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</si>
  <si>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</si>
  <si>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</si>
  <si>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</si>
  <si>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</si>
  <si>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</si>
  <si>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</si>
  <si>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</si>
  <si>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</si>
  <si>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</si>
  <si>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</si>
  <si>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</si>
  <si>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</si>
  <si>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</si>
  <si>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</si>
  <si>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</si>
  <si>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</si>
  <si>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</si>
  <si>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</si>
  <si>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</si>
  <si>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</si>
  <si>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</si>
  <si>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</si>
  <si>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</si>
  <si>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</si>
  <si>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</si>
  <si>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</si>
  <si>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</si>
  <si>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</si>
  <si>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</si>
  <si>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</si>
  <si>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</si>
  <si>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</si>
  <si>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</si>
  <si>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</si>
  <si>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</si>
  <si>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</si>
  <si>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</si>
  <si>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</si>
  <si>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</si>
  <si>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</si>
  <si>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</si>
  <si>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</si>
  <si>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</si>
  <si>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</si>
  <si>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</si>
  <si>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</si>
  <si>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</si>
  <si>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</si>
  <si>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</si>
  <si>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</si>
  <si>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</si>
  <si>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</si>
  <si>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</si>
  <si>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</si>
  <si>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</si>
  <si>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</si>
  <si>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</si>
  <si>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</si>
  <si>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</si>
  <si>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</si>
  <si>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</si>
  <si>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</si>
  <si>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</si>
  <si>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</si>
  <si>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</si>
  <si>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</si>
  <si>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</si>
  <si>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</si>
  <si>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</si>
  <si>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</si>
  <si>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</si>
  <si>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</si>
  <si>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</si>
  <si>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</si>
  <si>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</si>
  <si>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</si>
  <si>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</si>
  <si>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</si>
  <si>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</si>
  <si>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</si>
  <si>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</si>
  <si>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</si>
  <si>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</si>
  <si>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</si>
  <si>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</si>
  <si>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</si>
  <si>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</si>
  <si>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</si>
  <si>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</si>
  <si>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</si>
  <si>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</si>
  <si>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</si>
  <si>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</si>
  <si>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</si>
  <si>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</si>
  <si>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</si>
  <si>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</si>
  <si>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</si>
  <si>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</si>
  <si>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</si>
  <si>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</si>
  <si>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</si>
  <si>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</si>
  <si>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</si>
  <si>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</si>
  <si>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</si>
  <si>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</si>
  <si>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</si>
  <si>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</si>
  <si>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</si>
  <si>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</si>
  <si>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</si>
  <si>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</si>
  <si>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</si>
  <si>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</si>
  <si>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</si>
  <si>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</si>
  <si>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</si>
  <si>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</si>
  <si>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</si>
  <si>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</si>
  <si>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</si>
  <si>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</si>
  <si>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</si>
  <si>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</si>
  <si>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</si>
  <si>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</si>
  <si>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</si>
  <si>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</si>
  <si>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</si>
  <si>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</si>
  <si>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</si>
  <si>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</si>
  <si>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</si>
  <si>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</si>
  <si>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</si>
  <si>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</si>
  <si>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</si>
  <si>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</si>
  <si>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</si>
  <si>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</si>
  <si>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</si>
  <si>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</si>
  <si>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</si>
  <si>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</si>
  <si>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</si>
  <si>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</si>
  <si>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</si>
  <si>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</si>
  <si>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</si>
  <si>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</si>
  <si>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</si>
  <si>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</si>
  <si>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</si>
  <si>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</si>
  <si>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</si>
  <si>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</si>
  <si>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</si>
  <si>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</si>
  <si>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</si>
  <si>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</si>
  <si>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</si>
  <si>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</si>
  <si>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</si>
  <si>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</si>
  <si>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</si>
  <si>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</si>
  <si>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</si>
  <si>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</si>
  <si>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</si>
  <si>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</si>
  <si>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</si>
  <si>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</si>
  <si>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</si>
  <si>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</si>
  <si>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</si>
  <si>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</si>
  <si>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</si>
  <si>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</si>
  <si>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</si>
  <si>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</si>
  <si>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</si>
  <si>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</si>
  <si>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</si>
  <si>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</si>
  <si>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</si>
  <si>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</si>
  <si>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</si>
  <si>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</si>
  <si>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</si>
  <si>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</si>
  <si>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</si>
  <si>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</si>
  <si>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</si>
  <si>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</si>
  <si>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</si>
  <si>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</si>
  <si>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</si>
  <si>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</si>
  <si>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</si>
  <si>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</si>
  <si>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</si>
  <si>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</si>
  <si>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</si>
  <si>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</si>
  <si>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</si>
  <si>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</si>
  <si>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</si>
  <si>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</si>
  <si>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</si>
  <si>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</si>
  <si>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</si>
  <si>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</si>
  <si>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</si>
  <si>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</si>
  <si>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</si>
  <si>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</si>
  <si>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</si>
  <si>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</si>
  <si>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</si>
  <si>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</si>
  <si>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</si>
  <si>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</si>
  <si>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</si>
  <si>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</si>
  <si>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</si>
  <si>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</si>
  <si>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</si>
  <si>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</si>
  <si>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</si>
  <si>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</si>
  <si>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</si>
  <si>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</si>
  <si>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</si>
  <si>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</si>
  <si>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</si>
  <si>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</si>
  <si>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</si>
  <si>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</si>
  <si>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</si>
  <si>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</si>
  <si>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</si>
  <si>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</si>
  <si>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</si>
  <si>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</si>
  <si>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</si>
  <si>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</si>
  <si>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</si>
  <si>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</si>
  <si>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</si>
  <si>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</si>
  <si>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</si>
  <si>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</si>
  <si>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</si>
  <si>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</si>
  <si>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</si>
  <si>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</si>
  <si>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</si>
  <si>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</si>
  <si>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</si>
  <si>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</si>
  <si>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</si>
  <si>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</si>
  <si>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</si>
  <si>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</si>
  <si>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</si>
  <si>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</si>
  <si>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</si>
  <si>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</si>
  <si>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</si>
  <si>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</si>
  <si>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</si>
  <si>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</si>
  <si>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</si>
  <si>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</si>
  <si>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</si>
  <si>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</si>
  <si>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</si>
  <si>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</si>
  <si>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</si>
  <si>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</si>
  <si>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</si>
  <si>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</si>
  <si>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</si>
  <si>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</si>
  <si>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</si>
  <si>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</si>
  <si>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</si>
  <si>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</si>
  <si>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</si>
  <si>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</si>
  <si>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</si>
  <si>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</si>
  <si>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</si>
  <si>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</si>
  <si>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</si>
  <si>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</si>
  <si>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</si>
  <si>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</si>
  <si>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</si>
  <si>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</si>
  <si>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</si>
  <si>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</si>
  <si>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</si>
  <si>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</si>
  <si>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</si>
  <si>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</si>
  <si>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</si>
  <si>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</si>
  <si>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</si>
  <si>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</si>
  <si>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</si>
  <si>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</si>
  <si>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</si>
  <si>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</si>
  <si>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</si>
  <si>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</si>
  <si>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</si>
  <si>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</si>
  <si>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</si>
  <si>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</si>
  <si>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</si>
  <si>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</si>
  <si>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</si>
  <si>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</si>
  <si>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</si>
  <si>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</si>
  <si>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</si>
  <si>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</si>
  <si>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</si>
  <si>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</si>
  <si>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</si>
  <si>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</si>
  <si>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</si>
  <si>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</si>
  <si>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</si>
  <si>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</si>
  <si>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</si>
  <si>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</si>
  <si>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</si>
  <si>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</si>
  <si>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</si>
  <si>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</si>
  <si>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</si>
  <si>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</si>
  <si>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</si>
  <si>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</si>
  <si>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</si>
  <si>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</si>
  <si>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</si>
  <si>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</si>
  <si>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</si>
  <si>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</si>
  <si>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</si>
  <si>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</si>
  <si>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</si>
  <si>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</si>
  <si>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</si>
  <si>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</si>
  <si>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</si>
  <si>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</si>
  <si>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</si>
  <si>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</si>
  <si>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</si>
  <si>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</si>
  <si>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</si>
  <si>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evaluación de articulos, diseño, diagramación, impresión  y publicación de revistas institucionales.</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</si>
  <si>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</si>
  <si>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</si>
  <si>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</si>
  <si>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</si>
  <si>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</si>
  <si>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</si>
  <si>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</si>
  <si>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</si>
  <si>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</si>
  <si>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</si>
  <si>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</si>
  <si>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</si>
  <si>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</si>
  <si>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</si>
  <si>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</si>
  <si>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</si>
  <si>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</si>
  <si>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</si>
  <si>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</si>
  <si>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</si>
  <si>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</si>
  <si>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</si>
  <si>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</si>
  <si>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</si>
  <si>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</si>
  <si>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</si>
  <si>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</si>
  <si>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</si>
  <si>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</si>
  <si>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</si>
  <si>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</si>
  <si>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</si>
  <si>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</si>
  <si>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</si>
  <si>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</si>
  <si>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</si>
  <si>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</si>
  <si>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</si>
  <si>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</si>
  <si>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</si>
  <si>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</si>
  <si>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</si>
  <si>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</si>
  <si>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</si>
  <si>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</si>
  <si>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</si>
  <si>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</si>
  <si>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</si>
  <si>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</si>
  <si>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</si>
  <si>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</si>
  <si>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</si>
  <si>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</si>
  <si>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</si>
  <si>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</si>
  <si>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</si>
  <si>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</si>
  <si>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</si>
  <si>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</si>
  <si>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</si>
  <si>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</si>
  <si>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</si>
  <si>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</si>
  <si>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</si>
  <si>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</si>
  <si>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</si>
  <si>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</si>
  <si>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</si>
  <si>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</si>
  <si>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</si>
  <si>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</si>
  <si>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</si>
  <si>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</si>
  <si>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</si>
  <si>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</si>
  <si>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</si>
  <si>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</si>
  <si>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</si>
  <si>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</si>
  <si>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</si>
  <si>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</si>
  <si>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</si>
  <si>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</si>
  <si>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</si>
  <si>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</si>
  <si>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</si>
  <si>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</si>
  <si>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</si>
  <si>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</si>
  <si>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</si>
  <si>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</si>
  <si>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</si>
  <si>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</si>
  <si>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</si>
  <si>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</si>
  <si>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</si>
  <si>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</si>
  <si>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</si>
  <si>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</si>
  <si>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</si>
  <si>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</si>
  <si>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</si>
  <si>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</si>
  <si>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</si>
  <si>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</si>
  <si>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</si>
  <si>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</si>
  <si>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</si>
  <si>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</si>
  <si>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</si>
  <si>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</si>
  <si>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</si>
  <si>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</si>
  <si>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</si>
  <si>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</si>
  <si>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</si>
  <si>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</si>
  <si>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</si>
  <si>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</si>
  <si>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</si>
  <si>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</si>
  <si>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</si>
  <si>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</si>
  <si>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</si>
  <si>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</si>
  <si>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</si>
  <si>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</si>
  <si>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</si>
  <si>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</si>
  <si>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</si>
  <si>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</si>
  <si>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</si>
  <si>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</si>
  <si>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</si>
  <si>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</si>
  <si>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</si>
  <si>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</si>
  <si>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</si>
  <si>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</si>
  <si>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</si>
  <si>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</si>
  <si>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</si>
  <si>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</si>
  <si>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</si>
  <si>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</si>
  <si>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</si>
  <si>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</si>
  <si>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</si>
  <si>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</si>
  <si>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</si>
  <si>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</si>
  <si>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</si>
  <si>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</si>
  <si>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</si>
  <si>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</si>
  <si>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</si>
  <si>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</si>
  <si>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</si>
  <si>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</si>
  <si>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</si>
  <si>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</si>
  <si>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</si>
  <si>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</si>
  <si>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</si>
  <si>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</si>
  <si>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</si>
  <si>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</si>
  <si>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</si>
  <si>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</si>
  <si>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</si>
  <si>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</si>
  <si>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</si>
  <si>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</si>
  <si>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</si>
  <si>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</si>
  <si>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</si>
  <si>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</si>
  <si>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</si>
  <si>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</si>
  <si>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</si>
  <si>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</si>
  <si>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</si>
  <si>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</si>
  <si>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</si>
  <si>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</si>
  <si>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</si>
  <si>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</si>
  <si>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</si>
  <si>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</si>
  <si>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</si>
  <si>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</si>
  <si>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</si>
  <si>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</si>
  <si>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</si>
  <si>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</si>
  <si>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</si>
  <si>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</si>
  <si>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</si>
  <si>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</si>
  <si>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</si>
  <si>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</si>
  <si>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</si>
  <si>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</si>
  <si>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</si>
  <si>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</si>
  <si>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</si>
  <si>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</si>
  <si>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</si>
  <si>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</si>
  <si>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</si>
  <si>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</si>
  <si>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</si>
  <si>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</si>
  <si>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</si>
  <si>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</si>
  <si>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</si>
  <si>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</si>
  <si>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</si>
  <si>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</si>
  <si>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</si>
  <si>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</si>
  <si>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</si>
  <si>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</si>
  <si>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</si>
  <si>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</si>
  <si>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</si>
  <si>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</si>
  <si>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</si>
  <si>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</si>
  <si>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</si>
  <si>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</si>
  <si>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</si>
  <si>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</si>
  <si>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</si>
  <si>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</si>
  <si>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</si>
  <si>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</si>
  <si>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</si>
  <si>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</si>
  <si>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</si>
  <si>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</si>
  <si>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</si>
  <si>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</si>
  <si>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</si>
  <si>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</si>
  <si>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</si>
  <si>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</si>
  <si>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</si>
  <si>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</si>
  <si>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</si>
  <si>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</si>
  <si>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</si>
  <si>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</si>
  <si>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</si>
  <si>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</si>
  <si>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</si>
  <si>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</si>
  <si>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</si>
  <si>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</si>
  <si>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</si>
  <si>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</si>
  <si>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</si>
  <si>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</si>
  <si>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</si>
  <si>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</si>
  <si>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</si>
  <si>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</si>
  <si>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</si>
  <si>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</si>
  <si>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</si>
  <si>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</si>
  <si>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</si>
  <si>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</si>
  <si>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</si>
  <si>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</si>
  <si>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</si>
  <si>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</si>
  <si>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</si>
  <si>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</si>
  <si>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</si>
  <si>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</si>
  <si>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</si>
  <si>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</si>
  <si>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</si>
  <si>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</si>
  <si>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</si>
  <si>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</si>
  <si>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</si>
  <si>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</si>
  <si>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</si>
  <si>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</si>
  <si>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</si>
  <si>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</si>
  <si>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</si>
  <si>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</si>
  <si>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</si>
  <si>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</si>
  <si>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</si>
  <si>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</si>
  <si>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</si>
  <si>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</si>
  <si>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</si>
  <si>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</si>
  <si>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</si>
  <si>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</si>
  <si>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</si>
  <si>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</si>
  <si>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</si>
  <si>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</si>
  <si>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</si>
  <si>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</si>
  <si>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</si>
  <si>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</si>
  <si>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</si>
  <si>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</si>
  <si>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</si>
  <si>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</si>
  <si>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</si>
  <si>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</si>
  <si>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</si>
  <si>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</si>
  <si>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</si>
  <si>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</si>
  <si>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</si>
  <si>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</si>
  <si>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</si>
  <si>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</si>
  <si>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</si>
  <si>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</si>
  <si>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</si>
  <si>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</si>
  <si>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</si>
  <si>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</si>
  <si>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</si>
  <si>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</si>
  <si>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</si>
  <si>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</si>
  <si>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</si>
  <si>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</si>
  <si>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</si>
  <si>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</si>
  <si>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</si>
  <si>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</si>
  <si>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</si>
  <si>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</si>
  <si>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</si>
  <si>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</si>
  <si>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</si>
  <si>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</si>
  <si>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</si>
  <si>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</si>
  <si>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</si>
  <si>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</si>
  <si>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</si>
  <si>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</si>
  <si>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</si>
  <si>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</si>
  <si>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</si>
  <si>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</si>
  <si>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</si>
  <si>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</si>
  <si>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</si>
  <si>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</si>
  <si>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</si>
  <si>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</si>
  <si>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</si>
  <si>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</si>
  <si>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</si>
  <si>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</si>
  <si>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</si>
  <si>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</si>
  <si>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</si>
  <si>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</si>
  <si>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</si>
  <si>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</si>
  <si>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</si>
  <si>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</si>
  <si>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</si>
  <si>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</si>
  <si>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</si>
  <si>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</si>
  <si>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</si>
  <si>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</si>
  <si>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</si>
  <si>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</si>
  <si>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</si>
  <si>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</si>
  <si>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</si>
  <si>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</si>
  <si>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</si>
  <si>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</si>
  <si>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</si>
  <si>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</si>
  <si>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</si>
  <si>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</si>
  <si>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</si>
  <si>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</si>
  <si>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</si>
  <si>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</si>
  <si>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</si>
  <si>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F.SALUD
F.EDUCACIÓN
F.INGENIERÍA</t>
  </si>
  <si>
    <t>F.INGENIERIA
FACECO
G.I.BIENESTAR</t>
  </si>
  <si>
    <t>F.SALUD
F.INGENIERIA
FACECO
F.C.SOCIALES
G.I.BIENESTAR</t>
  </si>
  <si>
    <t>G.I.BIENESTAR
FACECO</t>
  </si>
  <si>
    <t>F. SALUD
FACECO
F.EDUCACIÓN
F.C.J.P.
F.INGENIERÍA</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</si>
  <si>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</si>
  <si>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</si>
  <si>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</si>
  <si>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</si>
  <si>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SUBSISTEMA</t>
  </si>
  <si>
    <t>SALDO</t>
  </si>
  <si>
    <t>LINEA BASE</t>
  </si>
  <si>
    <t>META DE PRODUCTO 2015</t>
  </si>
  <si>
    <t>FORMACION</t>
  </si>
  <si>
    <t>PROGRAMAS:
27 PREGRADO
8  MAESTRIAS
2 DOCTORADOS</t>
  </si>
  <si>
    <t>40.009 PERSONAS</t>
  </si>
  <si>
    <t>META DE RESULTADO  PI</t>
  </si>
  <si>
    <t>INVESTIGACION</t>
  </si>
  <si>
    <t>PROYECCION SOCIAL</t>
  </si>
  <si>
    <t>ADMINISTRATIVO</t>
  </si>
  <si>
    <t>1.150 PERSONAS</t>
  </si>
  <si>
    <t>3.450 PERSONAS</t>
  </si>
  <si>
    <t xml:space="preserve"> </t>
  </si>
  <si>
    <t>RECURSOS ASIGNADOS P.I
2015</t>
  </si>
  <si>
    <t>PROGRAMAS:
32 PREGRADO
12 MAESTRIAS
6 DOCTORADOS</t>
  </si>
  <si>
    <t>PROGRAMAS:
37 PROF. DOCTORADO 
189 PROF. MAESTRIA
100 PROFESORES CAP.EST.PEDAGOGICAS.</t>
  </si>
  <si>
    <t>PROGRAMAS:
39 PROF. DOCT.  189 PROF. MAE.
100 PROFES. CAP.EST.PEDAGOGICAS.</t>
  </si>
  <si>
    <t>PROGRAMAS:
49 PROF. DOCT.  198 PROF.MAEST.
100 PROFES. CAP.EST.PEDAGOGICAS.</t>
  </si>
  <si>
    <t>27 PROG.PREGRAD.
0 PROG.POSTGRAD.</t>
  </si>
  <si>
    <t>27 PROG.PREGRAD.</t>
  </si>
  <si>
    <t>31 PROG.PREGRAD.</t>
  </si>
  <si>
    <t>26 PROG.POSTGRAD.</t>
  </si>
  <si>
    <t>22 PROG.POSTGRAD.</t>
  </si>
  <si>
    <t>0 UNIDADES</t>
  </si>
  <si>
    <t>30 UNIDADES</t>
  </si>
  <si>
    <t>2 GRADUADOS</t>
  </si>
  <si>
    <t>40 GRADUADOS</t>
  </si>
  <si>
    <t>25 GRADUADOS</t>
  </si>
  <si>
    <t>1 EVENTO</t>
  </si>
  <si>
    <t>70 EVENTOS</t>
  </si>
  <si>
    <t>10 EVENTOS</t>
  </si>
  <si>
    <t>6 EQUIPOS</t>
  </si>
  <si>
    <t>46 EQUIPOS</t>
  </si>
  <si>
    <t>9 EQUIPOS</t>
  </si>
  <si>
    <t>3 LICENCIAS</t>
  </si>
  <si>
    <t>33 LICENCIAS</t>
  </si>
  <si>
    <t>6 LICENCIAS</t>
  </si>
  <si>
    <t>5 TESIS</t>
  </si>
  <si>
    <t>55 TESIS</t>
  </si>
  <si>
    <t>7 TESIS</t>
  </si>
  <si>
    <t>2 TALLERES</t>
  </si>
  <si>
    <t>42 TALLERES</t>
  </si>
  <si>
    <t>4 TALLERES</t>
  </si>
  <si>
    <t>31 EVENTOS</t>
  </si>
  <si>
    <t>2 EVENTOS</t>
  </si>
  <si>
    <t>60 SESIONES</t>
  </si>
  <si>
    <t>460 SESIONES</t>
  </si>
  <si>
    <t>94 SESIONES</t>
  </si>
  <si>
    <t>1 PROYECTO</t>
  </si>
  <si>
    <t>51 PROYECTO</t>
  </si>
  <si>
    <t>2 PROYECTO</t>
  </si>
  <si>
    <t>3 EVENTOS</t>
  </si>
  <si>
    <t>43 EVENTOS</t>
  </si>
  <si>
    <t>4 EVENTOS</t>
  </si>
  <si>
    <t>20 CAPACITACIONES</t>
  </si>
  <si>
    <t>40 CAPACITACIONES</t>
  </si>
  <si>
    <t>220 CAPACITACIONES</t>
  </si>
  <si>
    <t>80 PROYECTOS</t>
  </si>
  <si>
    <t>2540 PROYECTOS</t>
  </si>
  <si>
    <t>30 PROYECTOS</t>
  </si>
  <si>
    <t>330 PROYECTOS</t>
  </si>
  <si>
    <t>4 PERSONAS</t>
  </si>
  <si>
    <t>124 PERSONAS</t>
  </si>
  <si>
    <t>49 PROYECTOS</t>
  </si>
  <si>
    <t>450 PROYECTOS</t>
  </si>
  <si>
    <t>1 APOYO</t>
  </si>
  <si>
    <t>11 APOYOS</t>
  </si>
  <si>
    <t>148 PROYECTOS</t>
  </si>
  <si>
    <t>42 PROYECTOS</t>
  </si>
  <si>
    <t>6 PERSONAS</t>
  </si>
  <si>
    <t>74 PTOYECTOS</t>
  </si>
  <si>
    <t>F. SALUD
F.INGENIERIA
VIC.ADTIVA.</t>
  </si>
  <si>
    <t>Evaluación, diseño, diagramación, impresión  y publicación de libros en las diferentes modalidades.</t>
  </si>
  <si>
    <t>TRIMESTRE 1</t>
  </si>
  <si>
    <t>TRIMESTRE 2</t>
  </si>
  <si>
    <t>TRIMESTRE 3</t>
  </si>
  <si>
    <t>TRIMESTRE 4</t>
  </si>
  <si>
    <t>-</t>
  </si>
  <si>
    <t>10 PROYECTOS</t>
  </si>
  <si>
    <t>10 CONVENIOS</t>
  </si>
  <si>
    <t>130 PROYECTOS</t>
  </si>
  <si>
    <t>130 CONVENIOS</t>
  </si>
  <si>
    <t>12 PROYECTOS</t>
  </si>
  <si>
    <t>12 CONVENIOS</t>
  </si>
  <si>
    <t>0 APLICATIVO</t>
  </si>
  <si>
    <t>1 APLICATIVO</t>
  </si>
  <si>
    <t>10 APLICATIVO</t>
  </si>
  <si>
    <t>2 BASES</t>
  </si>
  <si>
    <t>8 BASES</t>
  </si>
  <si>
    <t>3 BASES</t>
  </si>
  <si>
    <t>1 CENTRO</t>
  </si>
  <si>
    <t>2 CENTRO</t>
  </si>
  <si>
    <t>4 REVISTAS</t>
  </si>
  <si>
    <t>9 REVISTAS</t>
  </si>
  <si>
    <t>1 CURSO</t>
  </si>
  <si>
    <t>21 CURSOS</t>
  </si>
  <si>
    <t>11 LIBROS</t>
  </si>
  <si>
    <t>161 LIBROS</t>
  </si>
  <si>
    <t>1 REVISTA</t>
  </si>
  <si>
    <t>5 REVISTAS</t>
  </si>
  <si>
    <t>2 CURSOS</t>
  </si>
  <si>
    <t>18 LIBROS</t>
  </si>
  <si>
    <t>0 CONSOLIDACIÓN</t>
  </si>
  <si>
    <t>0 CURRICULOS</t>
  </si>
  <si>
    <t>201 PERSONAS</t>
  </si>
  <si>
    <t>5 APOYOS</t>
  </si>
  <si>
    <t>100% CONSOLIDACIÓN</t>
  </si>
  <si>
    <t>100% CURRICULOS</t>
  </si>
  <si>
    <t>261 PERSONAS</t>
  </si>
  <si>
    <t>50 APOYOS</t>
  </si>
  <si>
    <t>0 ESTRATEGIAS</t>
  </si>
  <si>
    <t>100% ESTRATEGIAS</t>
  </si>
  <si>
    <t>10 CONSOLIDACIÓN</t>
  </si>
  <si>
    <t>10 CURRICULOS</t>
  </si>
  <si>
    <t>207 PERSONAS</t>
  </si>
  <si>
    <t>15 ESTRATEGIAS</t>
  </si>
  <si>
    <t>4 MACROPROYECTOS</t>
  </si>
  <si>
    <t>18 PROYECTOS</t>
  </si>
  <si>
    <t>36 ACTIVIDADES</t>
  </si>
  <si>
    <t>17 EVENTOS</t>
  </si>
  <si>
    <t>6 CONVENIOS</t>
  </si>
  <si>
    <t>0 IMPLEMENTACION</t>
  </si>
  <si>
    <t>51 MACROPROYECTOS</t>
  </si>
  <si>
    <t>200 PROYECTOS</t>
  </si>
  <si>
    <t xml:space="preserve">400 ACTIVIDADES </t>
  </si>
  <si>
    <t>200 EVENTOS</t>
  </si>
  <si>
    <t>200 CURSOS</t>
  </si>
  <si>
    <t>190 CONVENIOS</t>
  </si>
  <si>
    <t>100% IMPLEMENTACION</t>
  </si>
  <si>
    <t>9  MACROPROYECTOS</t>
  </si>
  <si>
    <t>45 PROYECTOS</t>
  </si>
  <si>
    <t>108 ACTIVIDADES</t>
  </si>
  <si>
    <t>20 CURSOS</t>
  </si>
  <si>
    <t>30 CONVENIOS</t>
  </si>
  <si>
    <t>10 IMPLEMENTACION</t>
  </si>
  <si>
    <t>100% UNIDADES</t>
  </si>
  <si>
    <t>50 UNIDADES</t>
  </si>
  <si>
    <t>0 PROYECTOS</t>
  </si>
  <si>
    <t>11 PROYECTOS</t>
  </si>
  <si>
    <t>0 DOCUMENTOS</t>
  </si>
  <si>
    <t>0 OBSERVATORIO</t>
  </si>
  <si>
    <t>1 DOCUMENTOS</t>
  </si>
  <si>
    <t>1 OBSERVATORIO</t>
  </si>
  <si>
    <t>1 PROYECTOS</t>
  </si>
  <si>
    <t>30 DOCUMENTOS</t>
  </si>
  <si>
    <t>50 OBSERVATORIO</t>
  </si>
  <si>
    <t>50 PROYECTOS</t>
  </si>
  <si>
    <t>0 PLAN</t>
  </si>
  <si>
    <t>10% AVANCE</t>
  </si>
  <si>
    <t>10% HOSTING Y DOMINIO                 50% AVANCE</t>
  </si>
  <si>
    <t>100% CAMBIO DE MARCA INSTITUCIONAL</t>
  </si>
  <si>
    <t>1 PLAN</t>
  </si>
  <si>
    <t>100% HOSTING Y DOMINIO                 100% AVANCE</t>
  </si>
  <si>
    <t>25 PLAN</t>
  </si>
  <si>
    <t>15% CAMBIO DE MARCA INSTITUCIONAL</t>
  </si>
  <si>
    <t>45% HOSTING Y DOMINIO                 5% AVANCE</t>
  </si>
  <si>
    <t>1215 CONSULTAS</t>
  </si>
  <si>
    <t>803 CONSULTAS</t>
  </si>
  <si>
    <t>814 CONSULTAS</t>
  </si>
  <si>
    <t>1180 ACTIVIDADES</t>
  </si>
  <si>
    <t>500 ACTIVIDADES</t>
  </si>
  <si>
    <t>1635 CONSULTAS</t>
  </si>
  <si>
    <t>1079 CONSULTAS</t>
  </si>
  <si>
    <t>1094 CONSULTAS</t>
  </si>
  <si>
    <t>1586 ACTIVIDADES</t>
  </si>
  <si>
    <t>612 ACTIVIDADES</t>
  </si>
  <si>
    <t>2635 PERSONAS</t>
  </si>
  <si>
    <t>3541 PERSONAS</t>
  </si>
  <si>
    <t>1251 CONSULTAS</t>
  </si>
  <si>
    <t>827 CONSULTAS</t>
  </si>
  <si>
    <t>838 CONSULTAS</t>
  </si>
  <si>
    <t>1215 ACTIVIDADES</t>
  </si>
  <si>
    <t>515 ACTIVIDADES</t>
  </si>
  <si>
    <t>2714 PERSONAS</t>
  </si>
  <si>
    <t>4131 APOYOS</t>
  </si>
  <si>
    <t>5552 APOYOS</t>
  </si>
  <si>
    <t>4255 APOYOS</t>
  </si>
  <si>
    <t>9113 ESTUDIANTES</t>
  </si>
  <si>
    <t>12247 ESTUDIANTES</t>
  </si>
  <si>
    <t>9386 ESTUDIANTES</t>
  </si>
  <si>
    <t>100% ACTUALIZADAS</t>
  </si>
  <si>
    <t xml:space="preserve">0 EVENTOS                              </t>
  </si>
  <si>
    <t>0 PROGRMAS</t>
  </si>
  <si>
    <t xml:space="preserve">10 EVENTOS                              </t>
  </si>
  <si>
    <t>10 PROGRMAS</t>
  </si>
  <si>
    <t>F. SALUD
F.INGENIERIA
F.EDUCACION</t>
  </si>
  <si>
    <t xml:space="preserve">Beneficiarios de actividades deportivas de todas las Sedes. </t>
  </si>
  <si>
    <t>Actividades Deportivas</t>
  </si>
  <si>
    <t>9078 BENEFICIARIOS</t>
  </si>
  <si>
    <t xml:space="preserve">11306 PERSONAS      </t>
  </si>
  <si>
    <t>199 ACTIVIDADES</t>
  </si>
  <si>
    <t xml:space="preserve">12234 BENEFICIARIOS </t>
  </si>
  <si>
    <t xml:space="preserve">15194 PERSONAS     </t>
  </si>
  <si>
    <t>267 ACTIVIDADES</t>
  </si>
  <si>
    <t xml:space="preserve">9350 BENEFICIARIOS </t>
  </si>
  <si>
    <t xml:space="preserve">11645 PERSONAS     </t>
  </si>
  <si>
    <t>205 ACTIVIDADES</t>
  </si>
  <si>
    <t>Actividades Culturales de todas las Sedes. Número Participantes</t>
  </si>
  <si>
    <t>Talleres: número de participantes</t>
  </si>
  <si>
    <t>Grupos Artisticos: Números de integrantes</t>
  </si>
  <si>
    <t>52975 PARTICIPANTES</t>
  </si>
  <si>
    <t xml:space="preserve">1509 TALLERES   </t>
  </si>
  <si>
    <t xml:space="preserve">520 EVENTOS                </t>
  </si>
  <si>
    <t>531 PERSONAS</t>
  </si>
  <si>
    <t>71194 PARTICIPANTES</t>
  </si>
  <si>
    <t xml:space="preserve">2028 TALLERES  </t>
  </si>
  <si>
    <t xml:space="preserve">699 EVENTOS                 </t>
  </si>
  <si>
    <t>714 PERSONAS</t>
  </si>
  <si>
    <t xml:space="preserve">54564 PARTICIPANTES  </t>
  </si>
  <si>
    <t xml:space="preserve">1554 TALLERES      </t>
  </si>
  <si>
    <t xml:space="preserve">536 EVENTOS           </t>
  </si>
  <si>
    <t>547 PERSONAS</t>
  </si>
  <si>
    <t>Eventos de clima organizacional y convivencia.(Eventos)</t>
  </si>
  <si>
    <t>Eventos convivencia, integración y reconocimiento</t>
  </si>
  <si>
    <t xml:space="preserve">50 EVENTOS                </t>
  </si>
  <si>
    <t xml:space="preserve">67 EVENTOS                </t>
  </si>
  <si>
    <t>13 EVENTOS</t>
  </si>
  <si>
    <t xml:space="preserve">52 EVENTOS                </t>
  </si>
  <si>
    <t>Prestación de servicio de restaurante en sedes a los estudiantes.</t>
  </si>
  <si>
    <t xml:space="preserve">150 ESTUDIOS        </t>
  </si>
  <si>
    <t>3600 SERVICIOS</t>
  </si>
  <si>
    <t xml:space="preserve">202 ESTUDIOS        </t>
  </si>
  <si>
    <t>4838 SERVICIOS</t>
  </si>
  <si>
    <t xml:space="preserve">155 ESTUDIOS        </t>
  </si>
  <si>
    <t>3708 SERVICIOS</t>
  </si>
  <si>
    <t xml:space="preserve">       150 MERIENDAS</t>
  </si>
  <si>
    <t xml:space="preserve"> 483 MERIENDAS</t>
  </si>
  <si>
    <t xml:space="preserve">  165 MERIENDAS</t>
  </si>
  <si>
    <t>EJECUCIÓN EN CDP</t>
  </si>
  <si>
    <t>SALDOS POR EJECUTAR EN CDP</t>
  </si>
  <si>
    <t>EJECUCIÓN EN RP</t>
  </si>
  <si>
    <t xml:space="preserve">SALDOS POR EJECUTAR </t>
  </si>
  <si>
    <t xml:space="preserve"> S. FORMACION</t>
  </si>
  <si>
    <t xml:space="preserve"> S. INVESTIGACIÓN</t>
  </si>
  <si>
    <t xml:space="preserve"> S.PROYECCION SOCIAL</t>
  </si>
  <si>
    <t xml:space="preserve"> S. BIENESTAR UNIVERSITARIO</t>
  </si>
  <si>
    <t xml:space="preserve"> S. ADMINISTRATIVO</t>
  </si>
  <si>
    <t>ASIGNADO</t>
  </si>
  <si>
    <t>EJECUTADO</t>
  </si>
  <si>
    <t>PORCENTAJE</t>
  </si>
  <si>
    <t>SUBSISTEMA DE FORMACION</t>
  </si>
  <si>
    <t>SUBSISTEMA: DE INVESTIGACIÓN</t>
  </si>
  <si>
    <t>SUBSISTEMA DE PROYECCION SOCIAL</t>
  </si>
  <si>
    <t>SUBSISTEMA BIENESTAR UNIVERSITARIO</t>
  </si>
  <si>
    <t>SUBSISTEMA ADMINISTRATIVO</t>
  </si>
  <si>
    <t>COMPARATIVO DE EJECUCION ACUMULADA POR SUBSISTEMA</t>
  </si>
  <si>
    <t>SEPTIEMBRE</t>
  </si>
  <si>
    <t>JUNIO</t>
  </si>
  <si>
    <t>MARZO</t>
  </si>
  <si>
    <t>MAYO</t>
  </si>
  <si>
    <t>PROY. SOCIAL</t>
  </si>
  <si>
    <t>EJECUCION  TOTAL</t>
  </si>
  <si>
    <t>OCTUBRE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</si>
</sst>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 numFmtId="170" formatCode="_(&quot;$&quot;\ * #,##0_);_(&quot;$&quot;\ * \(#,##0\);_(&quot;$&quot;\ * &quot;-&quot;??_);_(@_)"/>
  </numFmts>
  <fonts count="63"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
      <b/>
      <sz val="9"/>
      <name val="Calibri"/>
      <family val="2"/>
      <scheme val="minor"/>
    </font>
    <font>
      <sz val="11"/>
      <color theme="1"/>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xf numFmtId="9" fontId="62" fillId="0" borderId="0" applyFont="0" applyFill="0" applyBorder="0" applyAlignment="0" applyProtection="0"/>
    <xf numFmtId="44" fontId="62"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650">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3" fontId="22" fillId="0" borderId="0" xfId="0" applyNumberFormat="1" applyFont="1" applyBorder="1"/>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0" fillId="32" borderId="0" xfId="0" applyFill="1"/>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0" fillId="0" borderId="2" xfId="0" applyFont="1" applyBorder="1" applyAlignment="1">
      <alignment horizontal="center"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center" vertical="center" wrapText="1"/>
    </xf>
    <xf numFmtId="0" fontId="0" fillId="0" borderId="2" xfId="0" applyFont="1" applyBorder="1" applyAlignment="1">
      <alignment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0" fillId="0" borderId="2" xfId="0" applyFont="1" applyBorder="1"/>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6" fillId="0" borderId="0" xfId="8" applyAlignment="1">
      <alignment horizontal="right"/>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3" fontId="26" fillId="32" borderId="10" xfId="0" applyNumberFormat="1" applyFont="1" applyFill="1" applyBorder="1" applyAlignment="1">
      <alignment horizontal="center" vertical="center" wrapText="1"/>
    </xf>
    <xf numFmtId="0" fontId="0" fillId="32" borderId="12" xfId="0" applyFill="1" applyBorder="1" applyAlignment="1"/>
    <xf numFmtId="0" fontId="0" fillId="32" borderId="2" xfId="0" applyFill="1" applyBorder="1"/>
    <xf numFmtId="0" fontId="0" fillId="32" borderId="2" xfId="0" applyFill="1" applyBorder="1" applyAlignment="1">
      <alignment textRotation="255"/>
    </xf>
    <xf numFmtId="0" fontId="0" fillId="32" borderId="46" xfId="0" applyFill="1" applyBorder="1"/>
    <xf numFmtId="3" fontId="26" fillId="0" borderId="8"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3" fillId="29" borderId="6" xfId="0" applyFont="1" applyFill="1" applyBorder="1" applyAlignment="1">
      <alignment horizontal="center" vertical="center" wrapText="1"/>
    </xf>
    <xf numFmtId="0" fontId="5" fillId="29" borderId="2" xfId="0" applyFont="1" applyFill="1" applyBorder="1" applyAlignment="1">
      <alignment horizontal="center" vertical="center" wrapText="1"/>
    </xf>
    <xf numFmtId="3" fontId="61" fillId="32" borderId="46" xfId="0"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10" xfId="0" applyFont="1" applyBorder="1" applyAlignment="1">
      <alignment vertical="center" wrapText="1"/>
    </xf>
    <xf numFmtId="3" fontId="6" fillId="0" borderId="2" xfId="0" applyNumberFormat="1" applyFont="1" applyFill="1" applyBorder="1" applyAlignment="1">
      <alignment horizontal="right" vertical="center" wrapText="1"/>
    </xf>
    <xf numFmtId="3" fontId="26" fillId="0" borderId="10" xfId="0" applyNumberFormat="1" applyFont="1" applyFill="1" applyBorder="1" applyAlignment="1">
      <alignment vertical="center" wrapText="1"/>
    </xf>
    <xf numFmtId="9" fontId="26" fillId="0" borderId="2" xfId="0" applyNumberFormat="1" applyFont="1" applyFill="1" applyBorder="1" applyAlignment="1">
      <alignment horizontal="center" vertical="center" wrapText="1"/>
    </xf>
    <xf numFmtId="0" fontId="1" fillId="3" borderId="2" xfId="0" applyFont="1" applyFill="1" applyBorder="1" applyAlignment="1">
      <alignment vertical="center"/>
    </xf>
    <xf numFmtId="3" fontId="26" fillId="13" borderId="2" xfId="0" applyNumberFormat="1" applyFont="1" applyFill="1" applyBorder="1" applyAlignment="1">
      <alignment horizontal="center" vertical="center" wrapText="1"/>
    </xf>
    <xf numFmtId="3" fontId="26" fillId="0" borderId="8" xfId="0" applyNumberFormat="1" applyFont="1" applyFill="1" applyBorder="1" applyAlignment="1">
      <alignment vertical="center" wrapText="1"/>
    </xf>
    <xf numFmtId="0" fontId="46" fillId="0" borderId="6" xfId="0" applyFont="1" applyBorder="1" applyAlignment="1">
      <alignment horizontal="center" vertical="center"/>
    </xf>
    <xf numFmtId="3" fontId="22" fillId="32" borderId="2" xfId="0" applyNumberFormat="1" applyFont="1" applyFill="1" applyBorder="1" applyAlignment="1">
      <alignment horizontal="center" vertical="center" wrapText="1"/>
    </xf>
    <xf numFmtId="3" fontId="22" fillId="13" borderId="2" xfId="0" applyNumberFormat="1" applyFont="1" applyFill="1" applyBorder="1" applyAlignment="1">
      <alignment horizontal="center" vertical="center" wrapText="1"/>
    </xf>
    <xf numFmtId="0" fontId="22" fillId="3" borderId="0" xfId="0" applyFont="1" applyFill="1" applyBorder="1" applyAlignment="1">
      <alignment horizontal="center" textRotation="255" wrapText="1"/>
    </xf>
    <xf numFmtId="3" fontId="22" fillId="13" borderId="8" xfId="0" applyNumberFormat="1" applyFont="1" applyFill="1" applyBorder="1" applyAlignment="1">
      <alignment horizontal="center" vertical="center" wrapText="1"/>
    </xf>
    <xf numFmtId="1" fontId="22" fillId="0" borderId="2" xfId="0" applyNumberFormat="1" applyFont="1" applyFill="1" applyBorder="1" applyAlignment="1">
      <alignment horizontal="center" vertical="center" wrapText="1"/>
    </xf>
    <xf numFmtId="3" fontId="22" fillId="32" borderId="10" xfId="0" applyNumberFormat="1" applyFont="1" applyFill="1" applyBorder="1" applyAlignment="1">
      <alignment horizontal="center" vertical="center" wrapText="1"/>
    </xf>
    <xf numFmtId="0" fontId="0" fillId="0" borderId="2" xfId="0" applyFont="1" applyFill="1" applyBorder="1" applyAlignment="1">
      <alignment wrapText="1"/>
    </xf>
    <xf numFmtId="0" fontId="3" fillId="0" borderId="2" xfId="0" applyFont="1" applyFill="1" applyBorder="1" applyAlignment="1">
      <alignment horizontal="center" vertical="center" wrapText="1"/>
    </xf>
    <xf numFmtId="10" fontId="55" fillId="0" borderId="2" xfId="0" applyNumberFormat="1" applyFont="1" applyFill="1" applyBorder="1" applyAlignment="1">
      <alignment horizontal="center" vertical="center"/>
    </xf>
    <xf numFmtId="0" fontId="3" fillId="13" borderId="2" xfId="0" applyFont="1" applyFill="1" applyBorder="1"/>
    <xf numFmtId="3" fontId="6" fillId="0" borderId="8" xfId="0" applyNumberFormat="1" applyFont="1" applyFill="1" applyBorder="1" applyAlignment="1">
      <alignment horizontal="right" vertical="center" wrapText="1"/>
    </xf>
    <xf numFmtId="0" fontId="21" fillId="0" borderId="9" xfId="0" applyFont="1" applyFill="1" applyBorder="1" applyAlignment="1">
      <alignment vertical="center" wrapText="1"/>
    </xf>
    <xf numFmtId="0" fontId="3" fillId="0" borderId="9" xfId="0" applyFont="1" applyFill="1" applyBorder="1" applyAlignment="1">
      <alignment vertical="center" wrapText="1"/>
    </xf>
    <xf numFmtId="3" fontId="26" fillId="0" borderId="9" xfId="0" applyNumberFormat="1" applyFont="1" applyFill="1" applyBorder="1" applyAlignment="1">
      <alignment vertical="center" wrapText="1"/>
    </xf>
    <xf numFmtId="0" fontId="3" fillId="0" borderId="8" xfId="0" applyFont="1" applyFill="1" applyBorder="1" applyAlignment="1">
      <alignment vertical="center" wrapText="1"/>
    </xf>
    <xf numFmtId="0" fontId="0" fillId="0" borderId="7" xfId="0" applyFill="1" applyBorder="1"/>
    <xf numFmtId="0" fontId="0" fillId="0" borderId="0" xfId="0" applyFill="1" applyBorder="1"/>
    <xf numFmtId="3" fontId="22" fillId="13" borderId="10" xfId="0" applyNumberFormat="1" applyFont="1" applyFill="1" applyBorder="1" applyAlignment="1">
      <alignment horizontal="center" vertical="center" wrapText="1"/>
    </xf>
    <xf numFmtId="0" fontId="3" fillId="3" borderId="6" xfId="0" applyFont="1" applyFill="1" applyBorder="1"/>
    <xf numFmtId="3" fontId="22"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4" fillId="0" borderId="6" xfId="0" applyFont="1" applyBorder="1" applyAlignment="1">
      <alignment horizontal="center" vertical="center"/>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5" fillId="11" borderId="2"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4" fillId="0" borderId="6" xfId="0" applyFont="1" applyBorder="1" applyAlignment="1">
      <alignment horizontal="center" vertical="center"/>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8" fillId="32" borderId="54"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3" fontId="22" fillId="0" borderId="9"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0" xfId="0" applyFont="1" applyBorder="1" applyAlignment="1">
      <alignment horizontal="righ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0" fontId="5" fillId="0" borderId="15" xfId="0" applyFont="1" applyBorder="1" applyAlignment="1">
      <alignment vertical="center" wrapText="1"/>
    </xf>
    <xf numFmtId="0" fontId="5" fillId="0" borderId="16" xfId="0" applyFont="1" applyBorder="1" applyAlignment="1">
      <alignment vertical="center" wrapText="1"/>
    </xf>
    <xf numFmtId="3" fontId="5" fillId="0" borderId="15" xfId="0" applyNumberFormat="1"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15" xfId="0" applyFont="1" applyBorder="1" applyAlignment="1">
      <alignment horizontal="right" vertical="center" wrapText="1"/>
    </xf>
    <xf numFmtId="0" fontId="5" fillId="0" borderId="24" xfId="0" applyFont="1" applyBorder="1" applyAlignment="1">
      <alignment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6" xfId="0" applyFont="1" applyBorder="1" applyAlignment="1">
      <alignment horizontal="center" vertical="center"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8" borderId="2" xfId="2"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4" borderId="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3" fontId="3" fillId="0" borderId="50" xfId="0" applyNumberFormat="1" applyFont="1" applyBorder="1" applyAlignment="1">
      <alignment horizontal="right"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4" fillId="0" borderId="57" xfId="0" applyFont="1" applyBorder="1" applyAlignment="1">
      <alignment horizontal="center"/>
    </xf>
    <xf numFmtId="0" fontId="4" fillId="0" borderId="58" xfId="0" applyFont="1" applyBorder="1" applyAlignment="1">
      <alignment horizontal="center"/>
    </xf>
    <xf numFmtId="0" fontId="4" fillId="0" borderId="65" xfId="0" applyFont="1" applyBorder="1" applyAlignment="1">
      <alignment horizontal="center"/>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0" fontId="4" fillId="0" borderId="64" xfId="0" applyFont="1" applyBorder="1" applyAlignment="1">
      <alignment horizontal="center"/>
    </xf>
    <xf numFmtId="0" fontId="4" fillId="0" borderId="59" xfId="0" applyFont="1" applyBorder="1" applyAlignment="1">
      <alignment horizontal="center"/>
    </xf>
    <xf numFmtId="0" fontId="3" fillId="0" borderId="15"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5"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0" fontId="3" fillId="0" borderId="79"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3" fontId="3" fillId="0" borderId="25"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10" xfId="0" applyNumberFormat="1" applyFont="1" applyFill="1" applyBorder="1" applyAlignment="1">
      <alignment horizontal="center" vertical="center" textRotation="255" wrapText="1"/>
    </xf>
    <xf numFmtId="3" fontId="22" fillId="0" borderId="9"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7"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8"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0" fontId="3" fillId="0" borderId="20"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3" fillId="0" borderId="80" xfId="0" applyFont="1" applyBorder="1" applyAlignment="1">
      <alignment horizontal="center" vertical="center" wrapText="1"/>
    </xf>
    <xf numFmtId="0" fontId="3" fillId="0" borderId="81"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6" fillId="0" borderId="2" xfId="2" applyBorder="1" applyAlignment="1">
      <alignment horizontal="center" vertical="center" wrapText="1"/>
    </xf>
    <xf numFmtId="0" fontId="6" fillId="0" borderId="0" xfId="2" applyAlignment="1">
      <alignment horizontal="right" vertical="center"/>
    </xf>
    <xf numFmtId="0" fontId="31" fillId="28" borderId="2" xfId="2" applyFont="1" applyFill="1" applyBorder="1" applyAlignment="1">
      <alignment horizontal="center" vertical="center" textRotation="90" wrapText="1"/>
    </xf>
    <xf numFmtId="0" fontId="0" fillId="0" borderId="2" xfId="0" applyBorder="1"/>
    <xf numFmtId="0" fontId="31" fillId="28" borderId="9" xfId="2" applyFont="1" applyFill="1" applyBorder="1" applyAlignment="1">
      <alignment horizontal="center" vertical="center" textRotation="90" wrapText="1"/>
    </xf>
    <xf numFmtId="0" fontId="31" fillId="28" borderId="8" xfId="2" applyFont="1" applyFill="1" applyBorder="1" applyAlignment="1">
      <alignment horizontal="center" vertical="center" textRotation="90" wrapText="1"/>
    </xf>
    <xf numFmtId="0" fontId="31" fillId="28" borderId="10" xfId="2" applyFont="1" applyFill="1" applyBorder="1" applyAlignment="1">
      <alignment horizontal="center"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40" fillId="0" borderId="2" xfId="2" applyFont="1" applyBorder="1" applyAlignment="1">
      <alignment horizontal="center" vertical="center"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255" wrapText="1"/>
    </xf>
    <xf numFmtId="0" fontId="37" fillId="28" borderId="8" xfId="2" applyFont="1" applyFill="1" applyBorder="1" applyAlignment="1">
      <alignment horizontal="center" vertical="center" textRotation="255" wrapText="1"/>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left"/>
    </xf>
    <xf numFmtId="0" fontId="6" fillId="0" borderId="0" xfId="2" applyAlignment="1">
      <alignment horizontal="center"/>
    </xf>
    <xf numFmtId="0" fontId="6" fillId="0" borderId="0" xfId="2" applyAlignment="1">
      <alignment horizontal="left" vertical="center"/>
    </xf>
    <xf numFmtId="3" fontId="6" fillId="0" borderId="0" xfId="2" applyNumberFormat="1" applyAlignment="1">
      <alignment horizontal="right"/>
    </xf>
    <xf numFmtId="3" fontId="16" fillId="0" borderId="0" xfId="2" applyNumberFormat="1" applyFont="1" applyAlignment="1">
      <alignment horizontal="right"/>
    </xf>
    <xf numFmtId="0" fontId="6" fillId="0" borderId="2" xfId="2" applyFont="1" applyBorder="1" applyAlignment="1">
      <alignment horizontal="center" vertical="center" wrapText="1"/>
    </xf>
    <xf numFmtId="3" fontId="6" fillId="0" borderId="12" xfId="2" applyNumberFormat="1" applyBorder="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36" fillId="0" borderId="0" xfId="2" applyFont="1" applyAlignment="1">
      <alignment horizontal="center"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0" fontId="16" fillId="3" borderId="6" xfId="2" applyFont="1" applyFill="1" applyBorder="1" applyAlignment="1">
      <alignment horizontal="center"/>
    </xf>
    <xf numFmtId="0" fontId="16" fillId="3" borderId="7" xfId="2" applyFont="1" applyFill="1" applyBorder="1" applyAlignment="1">
      <alignment horizontal="center"/>
    </xf>
    <xf numFmtId="38" fontId="6" fillId="0" borderId="2" xfId="2" applyNumberFormat="1" applyFont="1" applyBorder="1" applyAlignment="1">
      <alignment horizontal="center"/>
    </xf>
    <xf numFmtId="3" fontId="6" fillId="0" borderId="0" xfId="2" applyNumberFormat="1" applyAlignment="1">
      <alignment horizontal="right" vertical="center"/>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16" fillId="0" borderId="0" xfId="2" applyFont="1" applyAlignment="1">
      <alignment horizontal="right"/>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0" fillId="0" borderId="0" xfId="0" applyBorder="1" applyAlignment="1">
      <alignment horizontal="center"/>
    </xf>
    <xf numFmtId="0" fontId="0" fillId="0" borderId="0" xfId="0" applyBorder="1" applyAlignment="1">
      <alignment horizontal="left"/>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3" fillId="0" borderId="37" xfId="0" applyNumberFormat="1" applyFont="1" applyBorder="1" applyAlignment="1">
      <alignment horizontal="right"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14" borderId="6" xfId="0" applyFill="1" applyBorder="1" applyAlignment="1">
      <alignment horizontal="center" vertical="center" wrapText="1"/>
    </xf>
    <xf numFmtId="0" fontId="0" fillId="14" borderId="7" xfId="0" applyFill="1" applyBorder="1" applyAlignment="1">
      <alignment horizontal="center" vertical="center" wrapText="1"/>
    </xf>
    <xf numFmtId="0" fontId="0" fillId="4" borderId="5" xfId="0" applyFill="1" applyBorder="1" applyAlignment="1">
      <alignment horizontal="center" vertical="center" wrapText="1"/>
    </xf>
    <xf numFmtId="0" fontId="3" fillId="0" borderId="37" xfId="0" applyFont="1" applyBorder="1" applyAlignment="1">
      <alignment horizontal="center" vertical="center" wrapText="1"/>
    </xf>
    <xf numFmtId="0" fontId="0" fillId="14" borderId="5"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16" fillId="28" borderId="2" xfId="2" applyFont="1" applyFill="1" applyBorder="1" applyAlignment="1">
      <alignment horizontal="center" vertical="center" textRotation="255" wrapText="1"/>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3" fillId="18" borderId="6" xfId="0" applyFont="1" applyFill="1" applyBorder="1" applyAlignment="1">
      <alignment horizontal="center"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3" fontId="3" fillId="0" borderId="22" xfId="0" applyNumberFormat="1" applyFont="1" applyBorder="1" applyAlignment="1">
      <alignment horizontal="right"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0" fontId="3" fillId="0" borderId="44" xfId="0" applyFont="1" applyBorder="1" applyAlignment="1">
      <alignment horizontal="center" vertical="center" wrapText="1"/>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3" fillId="0" borderId="12" xfId="0" applyFont="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0" fontId="3" fillId="0" borderId="55" xfId="0" applyFont="1" applyBorder="1" applyAlignment="1">
      <alignment horizontal="center" vertical="center" wrapText="1"/>
    </xf>
    <xf numFmtId="0" fontId="3" fillId="0" borderId="2" xfId="0" applyFont="1" applyBorder="1" applyAlignment="1">
      <alignment horizontal="center" vertical="center" textRotation="255" wrapText="1"/>
    </xf>
    <xf numFmtId="0" fontId="0" fillId="11" borderId="2" xfId="0" applyFill="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43" fillId="3" borderId="0" xfId="0" applyFont="1" applyFill="1" applyBorder="1" applyAlignment="1">
      <alignment horizontal="center" wrapText="1"/>
    </xf>
    <xf numFmtId="9"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0" fontId="3" fillId="0" borderId="52" xfId="0" applyFont="1" applyBorder="1" applyAlignment="1">
      <alignment horizontal="center" vertical="center" wrapText="1"/>
    </xf>
    <xf numFmtId="0" fontId="0" fillId="0" borderId="2" xfId="0" applyBorder="1" applyAlignment="1">
      <alignment horizontal="center"/>
    </xf>
    <xf numFmtId="9" fontId="3" fillId="0" borderId="24" xfId="0" applyNumberFormat="1" applyFont="1" applyBorder="1" applyAlignment="1">
      <alignment horizontal="center" vertical="center" wrapText="1"/>
    </xf>
    <xf numFmtId="3" fontId="47" fillId="0" borderId="2" xfId="0" applyNumberFormat="1" applyFont="1" applyFill="1" applyBorder="1" applyAlignment="1">
      <alignment horizontal="center" vertical="center" textRotation="255" wrapText="1"/>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0" fontId="4" fillId="0" borderId="14" xfId="0" applyFont="1" applyBorder="1" applyAlignment="1">
      <alignment horizontal="center"/>
    </xf>
    <xf numFmtId="0" fontId="43" fillId="0" borderId="6" xfId="0" applyFont="1" applyBorder="1" applyAlignment="1">
      <alignment horizontal="center" wrapText="1"/>
    </xf>
    <xf numFmtId="0" fontId="43" fillId="0" borderId="7"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8" xfId="0" applyFont="1" applyBorder="1" applyAlignment="1">
      <alignment horizontal="left"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58" fillId="32" borderId="2"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21" fillId="0" borderId="8" xfId="0" applyFont="1" applyFill="1" applyBorder="1" applyAlignment="1">
      <alignment horizontal="left" vertical="center" wrapText="1"/>
    </xf>
    <xf numFmtId="0" fontId="0" fillId="3" borderId="2" xfId="0" applyFill="1" applyBorder="1" applyAlignment="1">
      <alignment horizontal="center" vertical="center" textRotation="255"/>
    </xf>
    <xf numFmtId="0" fontId="0" fillId="0" borderId="2" xfId="0" applyBorder="1" applyAlignment="1">
      <alignment horizontal="center" vertical="center" textRotation="255"/>
    </xf>
    <xf numFmtId="0" fontId="0" fillId="0" borderId="10" xfId="0" applyBorder="1" applyAlignment="1">
      <alignment horizontal="center" vertical="center" textRotation="255"/>
    </xf>
    <xf numFmtId="0" fontId="0" fillId="0" borderId="9" xfId="0" applyBorder="1" applyAlignment="1">
      <alignment horizontal="center" vertical="center" textRotation="255"/>
    </xf>
    <xf numFmtId="3" fontId="26" fillId="0" borderId="105" xfId="0" applyNumberFormat="1" applyFont="1" applyFill="1" applyBorder="1" applyAlignment="1">
      <alignment horizontal="center" vertical="center" wrapText="1"/>
    </xf>
    <xf numFmtId="0" fontId="0" fillId="0" borderId="8" xfId="0" applyBorder="1" applyAlignment="1">
      <alignment horizontal="center" vertical="center" textRotation="255"/>
    </xf>
    <xf numFmtId="0" fontId="0" fillId="0" borderId="2" xfId="0" applyBorder="1" applyAlignment="1">
      <alignment horizontal="center" vertical="center" textRotation="255"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170" fontId="26" fillId="0" borderId="10" xfId="14" applyNumberFormat="1" applyFont="1" applyFill="1" applyBorder="1" applyAlignment="1">
      <alignment horizontal="center" vertical="center" wrapText="1"/>
    </xf>
    <xf numFmtId="170" fontId="26" fillId="0" borderId="9" xfId="14" applyNumberFormat="1" applyFont="1" applyFill="1" applyBorder="1" applyAlignment="1">
      <alignment horizontal="center" vertical="center" wrapText="1"/>
    </xf>
    <xf numFmtId="170" fontId="26" fillId="0" borderId="8" xfId="14" applyNumberFormat="1" applyFont="1" applyFill="1" applyBorder="1" applyAlignment="1">
      <alignment horizontal="center" vertical="center" wrapText="1"/>
    </xf>
    <xf numFmtId="170" fontId="22" fillId="0" borderId="10" xfId="14" applyNumberFormat="1" applyFont="1" applyFill="1" applyBorder="1" applyAlignment="1">
      <alignment horizontal="center" vertical="center" wrapText="1"/>
    </xf>
    <xf numFmtId="170" fontId="22" fillId="0" borderId="9" xfId="14" applyNumberFormat="1" applyFont="1" applyFill="1" applyBorder="1" applyAlignment="1">
      <alignment horizontal="center" vertical="center" wrapText="1"/>
    </xf>
    <xf numFmtId="170" fontId="22" fillId="0" borderId="8" xfId="14" applyNumberFormat="1" applyFont="1" applyFill="1" applyBorder="1" applyAlignment="1">
      <alignment horizontal="center" vertical="center" wrapText="1"/>
    </xf>
    <xf numFmtId="170" fontId="26" fillId="0" borderId="2" xfId="14" applyNumberFormat="1" applyFont="1" applyFill="1" applyBorder="1" applyAlignment="1">
      <alignment horizontal="center" vertical="center" wrapText="1"/>
    </xf>
    <xf numFmtId="170" fontId="22" fillId="0" borderId="2" xfId="14" applyNumberFormat="1" applyFont="1" applyFill="1" applyBorder="1" applyAlignment="1">
      <alignment horizontal="center" vertical="center" wrapText="1"/>
    </xf>
    <xf numFmtId="9" fontId="22" fillId="0" borderId="10" xfId="0" applyNumberFormat="1" applyFont="1" applyFill="1" applyBorder="1" applyAlignment="1">
      <alignment horizontal="center" vertical="center" wrapText="1"/>
    </xf>
    <xf numFmtId="9" fontId="22" fillId="0" borderId="9" xfId="0" applyNumberFormat="1" applyFont="1" applyFill="1" applyBorder="1" applyAlignment="1">
      <alignment horizontal="center" vertical="center" wrapText="1"/>
    </xf>
    <xf numFmtId="9" fontId="22" fillId="0" borderId="8" xfId="0" applyNumberFormat="1"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9" fontId="26" fillId="0" borderId="9" xfId="0" applyNumberFormat="1" applyFont="1" applyFill="1" applyBorder="1" applyAlignment="1">
      <alignment horizontal="center" vertical="center" wrapText="1"/>
    </xf>
    <xf numFmtId="9" fontId="26" fillId="0" borderId="8" xfId="0" applyNumberFormat="1" applyFont="1" applyFill="1" applyBorder="1" applyAlignment="1">
      <alignment horizontal="center" vertical="center" wrapText="1"/>
    </xf>
    <xf numFmtId="9" fontId="22" fillId="0" borderId="10" xfId="13" applyFont="1" applyFill="1" applyBorder="1" applyAlignment="1">
      <alignment horizontal="center" vertical="center" wrapText="1"/>
    </xf>
    <xf numFmtId="9" fontId="22" fillId="0" borderId="9" xfId="13" applyFont="1" applyFill="1" applyBorder="1" applyAlignment="1">
      <alignment horizontal="center" vertical="center" wrapText="1"/>
    </xf>
    <xf numFmtId="9" fontId="22" fillId="0" borderId="8" xfId="13"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10" fontId="55" fillId="0" borderId="8" xfId="0" applyNumberFormat="1" applyFont="1" applyBorder="1" applyAlignment="1">
      <alignment horizontal="center" vertical="center"/>
    </xf>
    <xf numFmtId="0" fontId="21" fillId="0" borderId="0" xfId="0" applyFont="1" applyBorder="1"/>
    <xf numFmtId="0" fontId="6" fillId="3" borderId="0" xfId="8" applyFont="1" applyFill="1" applyBorder="1"/>
    <xf numFmtId="0" fontId="58" fillId="32" borderId="54" xfId="0" applyFont="1" applyFill="1" applyBorder="1" applyAlignment="1">
      <alignment horizontal="left" vertical="center" wrapText="1"/>
    </xf>
    <xf numFmtId="0" fontId="58" fillId="32" borderId="45" xfId="0" applyFont="1" applyFill="1" applyBorder="1" applyAlignment="1">
      <alignment horizontal="left" vertical="center" wrapText="1"/>
    </xf>
    <xf numFmtId="0" fontId="58" fillId="32" borderId="51" xfId="0" applyFont="1" applyFill="1" applyBorder="1" applyAlignment="1">
      <alignment horizontal="left" vertical="center" wrapText="1"/>
    </xf>
    <xf numFmtId="0" fontId="58" fillId="32" borderId="54" xfId="0" applyFont="1" applyFill="1" applyBorder="1" applyAlignment="1">
      <alignment vertical="center" wrapText="1"/>
    </xf>
    <xf numFmtId="0" fontId="58" fillId="32" borderId="45" xfId="0" applyFont="1" applyFill="1" applyBorder="1" applyAlignment="1">
      <alignment vertical="center" wrapText="1"/>
    </xf>
    <xf numFmtId="0" fontId="58" fillId="32" borderId="51" xfId="0" applyFont="1" applyFill="1" applyBorder="1" applyAlignment="1">
      <alignment vertical="center" wrapText="1"/>
    </xf>
    <xf numFmtId="0" fontId="58" fillId="32" borderId="5" xfId="0" applyFont="1" applyFill="1" applyBorder="1" applyAlignment="1">
      <alignment vertical="center" wrapText="1"/>
    </xf>
    <xf numFmtId="0" fontId="58" fillId="32" borderId="6" xfId="0" applyFont="1" applyFill="1" applyBorder="1" applyAlignment="1">
      <alignment vertical="center" wrapText="1"/>
    </xf>
    <xf numFmtId="0" fontId="58" fillId="32" borderId="7" xfId="0" applyFont="1" applyFill="1" applyBorder="1" applyAlignment="1">
      <alignment vertical="center" wrapText="1"/>
    </xf>
    <xf numFmtId="0" fontId="3" fillId="0" borderId="2" xfId="0" applyFont="1" applyFill="1" applyBorder="1" applyAlignment="1">
      <alignment vertical="center" wrapText="1"/>
    </xf>
    <xf numFmtId="0" fontId="21" fillId="0" borderId="10" xfId="0" applyFont="1" applyFill="1" applyBorder="1" applyAlignment="1">
      <alignment vertical="center" wrapText="1"/>
    </xf>
    <xf numFmtId="0" fontId="21" fillId="0" borderId="9" xfId="0" applyFont="1" applyFill="1" applyBorder="1" applyAlignment="1">
      <alignment vertical="center" wrapText="1"/>
    </xf>
    <xf numFmtId="0" fontId="21" fillId="0" borderId="8" xfId="0" applyFont="1" applyFill="1" applyBorder="1" applyAlignment="1">
      <alignment vertical="center" wrapText="1"/>
    </xf>
    <xf numFmtId="0" fontId="3" fillId="3" borderId="2" xfId="0" applyFont="1" applyFill="1" applyBorder="1" applyAlignment="1">
      <alignment vertical="center" wrapText="1"/>
    </xf>
    <xf numFmtId="0" fontId="26" fillId="3" borderId="44" xfId="0" applyFont="1" applyFill="1" applyBorder="1" applyAlignment="1">
      <alignment vertical="center" wrapText="1"/>
    </xf>
    <xf numFmtId="0" fontId="3" fillId="32" borderId="45" xfId="0" applyFont="1" applyFill="1" applyBorder="1" applyAlignment="1">
      <alignment vertical="center" wrapText="1"/>
    </xf>
    <xf numFmtId="10" fontId="21" fillId="0" borderId="0" xfId="0" applyNumberFormat="1" applyFont="1" applyBorder="1"/>
    <xf numFmtId="10" fontId="0" fillId="0" borderId="0" xfId="0" applyNumberFormat="1"/>
    <xf numFmtId="0" fontId="1" fillId="3" borderId="2" xfId="0" applyFont="1" applyFill="1" applyBorder="1" applyAlignment="1">
      <alignment horizontal="center" vertical="center"/>
    </xf>
    <xf numFmtId="0" fontId="1" fillId="3" borderId="2" xfId="0" applyFont="1" applyFill="1" applyBorder="1" applyAlignment="1">
      <alignment horizontal="center" vertical="center"/>
    </xf>
    <xf numFmtId="0" fontId="1" fillId="0" borderId="2" xfId="0" applyFont="1" applyBorder="1" applyAlignment="1">
      <alignment horizontal="center" vertical="center"/>
    </xf>
    <xf numFmtId="0" fontId="0" fillId="3" borderId="2" xfId="0" applyFill="1" applyBorder="1" applyAlignment="1">
      <alignment vertical="center"/>
    </xf>
    <xf numFmtId="10" fontId="0" fillId="3" borderId="2" xfId="0" applyNumberFormat="1" applyFill="1" applyBorder="1" applyAlignment="1">
      <alignment vertical="center"/>
    </xf>
    <xf numFmtId="0" fontId="0" fillId="3" borderId="2" xfId="0" applyFill="1" applyBorder="1" applyAlignment="1">
      <alignment horizontal="center"/>
    </xf>
    <xf numFmtId="0" fontId="0" fillId="3" borderId="2" xfId="0" applyFill="1" applyBorder="1"/>
    <xf numFmtId="10" fontId="0" fillId="3" borderId="2" xfId="0" applyNumberFormat="1" applyFill="1" applyBorder="1" applyAlignment="1">
      <alignment horizontal="center"/>
    </xf>
    <xf numFmtId="10" fontId="1" fillId="3" borderId="2" xfId="0" applyNumberFormat="1" applyFont="1" applyFill="1" applyBorder="1" applyAlignment="1">
      <alignment horizontal="center" vertical="center"/>
    </xf>
    <xf numFmtId="10" fontId="1" fillId="3" borderId="2" xfId="0" applyNumberFormat="1" applyFont="1" applyFill="1" applyBorder="1" applyAlignment="1">
      <alignment vertical="center"/>
    </xf>
  </cellXfs>
  <cellStyles count="18">
    <cellStyle name="40% - Énfasis5 2" xfId="7"/>
    <cellStyle name="Euro" xfId="4"/>
    <cellStyle name="Euro 2" xfId="15"/>
    <cellStyle name="Hipervínculo" xfId="1" builtinId="8"/>
    <cellStyle name="Millares 2" xfId="5"/>
    <cellStyle name="Millares 2 2" xfId="16"/>
    <cellStyle name="Millares 3" xfId="6"/>
    <cellStyle name="Millares 3 2" xfId="17"/>
    <cellStyle name="Moneda" xfId="14" builtinId="4"/>
    <cellStyle name="Neutral" xfId="12" builtinId="28"/>
    <cellStyle name="Normal" xfId="0" builtinId="0"/>
    <cellStyle name="Normal 2" xfId="2"/>
    <cellStyle name="Normal 2 2" xfId="3"/>
    <cellStyle name="Normal 2 2 2" xfId="8"/>
    <cellStyle name="Normal 3" xfId="9"/>
    <cellStyle name="Normal 4" xfId="10"/>
    <cellStyle name="Porcentaje" xfId="13" builtinId="5"/>
    <cellStyle name="TableStyleLight1" xfId="11"/>
  </cellStyles>
  <dxfs count="3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EJECUCION PLAN DE ACCION A OCTUBRE DE 2015 POR SUBSISTEMAS</a:t>
            </a:r>
          </a:p>
        </c:rich>
      </c:tx>
      <c:layout/>
      <c:overlay val="0"/>
    </c:title>
    <c:autoTitleDeleted val="0"/>
    <c:view3D>
      <c:rotX val="20"/>
      <c:rotY val="40"/>
      <c:depthPercent val="110"/>
      <c:rAngAx val="1"/>
    </c:view3D>
    <c:floor>
      <c:thickness val="0"/>
    </c:floor>
    <c:sideWall>
      <c:thickness val="0"/>
    </c:sideWall>
    <c:backWall>
      <c:thickness val="0"/>
    </c:backWall>
    <c:plotArea>
      <c:layout/>
      <c:bar3DChart>
        <c:barDir val="col"/>
        <c:grouping val="clustered"/>
        <c:varyColors val="0"/>
        <c:ser>
          <c:idx val="0"/>
          <c:order val="0"/>
          <c:tx>
            <c:strRef>
              <c:f>'P.ACCION A OCTUBRE consolid (2'!$EH$195</c:f>
              <c:strCache>
                <c:ptCount val="1"/>
                <c:pt idx="0">
                  <c:v>ASIGNADO</c:v>
                </c:pt>
              </c:strCache>
            </c:strRef>
          </c:tx>
          <c:invertIfNegative val="0"/>
          <c:dLbls>
            <c:dLbl>
              <c:idx val="0"/>
              <c:layout>
                <c:manualLayout>
                  <c:x val="-1.7671746064523023E-3"/>
                  <c:y val="-0.12473722441873548"/>
                </c:manualLayout>
              </c:layout>
              <c:showLegendKey val="0"/>
              <c:showVal val="1"/>
              <c:showCatName val="0"/>
              <c:showSerName val="0"/>
              <c:showPercent val="0"/>
              <c:showBubbleSize val="0"/>
            </c:dLbl>
            <c:dLbl>
              <c:idx val="1"/>
              <c:layout>
                <c:manualLayout>
                  <c:x val="0"/>
                  <c:y val="-3.0089314324942086E-2"/>
                </c:manualLayout>
              </c:layout>
              <c:showLegendKey val="0"/>
              <c:showVal val="1"/>
              <c:showCatName val="0"/>
              <c:showSerName val="0"/>
              <c:showPercent val="0"/>
              <c:showBubbleSize val="0"/>
            </c:dLbl>
            <c:dLbl>
              <c:idx val="2"/>
              <c:layout>
                <c:manualLayout>
                  <c:x val="5.0346126314863085E-3"/>
                  <c:y val="-8.0035206866997458E-2"/>
                </c:manualLayout>
              </c:layout>
              <c:showLegendKey val="0"/>
              <c:showVal val="1"/>
              <c:showCatName val="0"/>
              <c:showSerName val="0"/>
              <c:showPercent val="0"/>
              <c:showBubbleSize val="0"/>
            </c:dLbl>
            <c:dLbl>
              <c:idx val="3"/>
              <c:layout>
                <c:manualLayout>
                  <c:x val="6.1533443545241976E-17"/>
                  <c:y val="-5.6417464359266416E-2"/>
                </c:manualLayout>
              </c:layout>
              <c:showLegendKey val="0"/>
              <c:showVal val="1"/>
              <c:showCatName val="0"/>
              <c:showSerName val="0"/>
              <c:showPercent val="0"/>
              <c:showBubbleSize val="0"/>
            </c:dLbl>
            <c:dLbl>
              <c:idx val="4"/>
              <c:layout>
                <c:manualLayout>
                  <c:x val="0"/>
                  <c:y val="-1.8805821453088803E-2"/>
                </c:manualLayout>
              </c:layout>
              <c:showLegendKey val="0"/>
              <c:showVal val="1"/>
              <c:showCatName val="0"/>
              <c:showSerName val="0"/>
              <c:showPercent val="0"/>
              <c:showBubbleSize val="0"/>
            </c:dLbl>
            <c:dLbl>
              <c:idx val="5"/>
              <c:layout>
                <c:manualLayout>
                  <c:x val="0"/>
                  <c:y val="-1.7267960086732165E-2"/>
                </c:manualLayout>
              </c:layout>
              <c:showLegendKey val="0"/>
              <c:showVal val="1"/>
              <c:showCatName val="0"/>
              <c:showSerName val="0"/>
              <c:showPercent val="0"/>
              <c:showBubbleSize val="0"/>
            </c:dLbl>
            <c:dLbl>
              <c:idx val="6"/>
              <c:layout>
                <c:manualLayout>
                  <c:x val="0"/>
                  <c:y val="-1.4801108645770427E-2"/>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(2'!$EF$196:$EF$200</c:f>
              <c:strCache>
                <c:ptCount val="5"/>
                <c:pt idx="0">
                  <c:v> S. FORMACION</c:v>
                </c:pt>
                <c:pt idx="1">
                  <c:v> S. INVESTIGACIÓN</c:v>
                </c:pt>
                <c:pt idx="2">
                  <c:v> S.PROYECCION SOCIAL</c:v>
                </c:pt>
                <c:pt idx="3">
                  <c:v> S. BIENESTAR UNIVERSITARIO</c:v>
                </c:pt>
                <c:pt idx="4">
                  <c:v> S. ADMINISTRATIVO</c:v>
                </c:pt>
              </c:strCache>
            </c:strRef>
          </c:cat>
          <c:val>
            <c:numRef>
              <c:f>'P.ACCION A OCTUBRE consolid (2'!$EH$196:$EH$200</c:f>
              <c:numCache>
                <c:formatCode>#,##0</c:formatCode>
                <c:ptCount val="5"/>
                <c:pt idx="0">
                  <c:v>1877108763</c:v>
                </c:pt>
                <c:pt idx="1">
                  <c:v>6535792729</c:v>
                </c:pt>
                <c:pt idx="2">
                  <c:v>2989241271</c:v>
                </c:pt>
                <c:pt idx="3">
                  <c:v>2555236800</c:v>
                </c:pt>
                <c:pt idx="4">
                  <c:v>11131713740</c:v>
                </c:pt>
              </c:numCache>
            </c:numRef>
          </c:val>
        </c:ser>
        <c:ser>
          <c:idx val="1"/>
          <c:order val="1"/>
          <c:tx>
            <c:strRef>
              <c:f>'P.ACCION A OCTUBRE consolid (2'!$EI$195</c:f>
              <c:strCache>
                <c:ptCount val="1"/>
                <c:pt idx="0">
                  <c:v>EJECUTADO</c:v>
                </c:pt>
              </c:strCache>
            </c:strRef>
          </c:tx>
          <c:invertIfNegative val="0"/>
          <c:dLbls>
            <c:dLbl>
              <c:idx val="0"/>
              <c:layout>
                <c:manualLayout>
                  <c:x val="1.590457145807072E-2"/>
                  <c:y val="-7.207206318062577E-2"/>
                </c:manualLayout>
              </c:layout>
              <c:showLegendKey val="0"/>
              <c:showVal val="1"/>
              <c:showCatName val="0"/>
              <c:showSerName val="0"/>
              <c:showPercent val="0"/>
              <c:showBubbleSize val="0"/>
            </c:dLbl>
            <c:dLbl>
              <c:idx val="1"/>
              <c:layout>
                <c:manualLayout>
                  <c:x val="1.7671746064523023E-3"/>
                  <c:y val="-3.4469247608125364E-2"/>
                </c:manualLayout>
              </c:layout>
              <c:showLegendKey val="0"/>
              <c:showVal val="1"/>
              <c:showCatName val="0"/>
              <c:showSerName val="0"/>
              <c:showPercent val="0"/>
              <c:showBubbleSize val="0"/>
            </c:dLbl>
            <c:dLbl>
              <c:idx val="2"/>
              <c:layout>
                <c:manualLayout>
                  <c:x val="1.4137396851618418E-2"/>
                  <c:y val="-2.5068543715000266E-2"/>
                </c:manualLayout>
              </c:layout>
              <c:showLegendKey val="0"/>
              <c:showVal val="1"/>
              <c:showCatName val="0"/>
              <c:showSerName val="0"/>
              <c:showPercent val="0"/>
              <c:showBubbleSize val="0"/>
            </c:dLbl>
            <c:dLbl>
              <c:idx val="3"/>
              <c:layout>
                <c:manualLayout>
                  <c:x val="1.2370222245166117E-2"/>
                  <c:y val="-1.88014077862502E-2"/>
                </c:manualLayout>
              </c:layout>
              <c:showLegendKey val="0"/>
              <c:showVal val="1"/>
              <c:showCatName val="0"/>
              <c:showSerName val="0"/>
              <c:showPercent val="0"/>
              <c:showBubbleSize val="0"/>
            </c:dLbl>
            <c:dLbl>
              <c:idx val="4"/>
              <c:layout>
                <c:manualLayout>
                  <c:x val="1.590457145807072E-2"/>
                  <c:y val="-1.88014077862502E-2"/>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(2'!$EF$196:$EF$200</c:f>
              <c:strCache>
                <c:ptCount val="5"/>
                <c:pt idx="0">
                  <c:v> S. FORMACION</c:v>
                </c:pt>
                <c:pt idx="1">
                  <c:v> S. INVESTIGACIÓN</c:v>
                </c:pt>
                <c:pt idx="2">
                  <c:v> S.PROYECCION SOCIAL</c:v>
                </c:pt>
                <c:pt idx="3">
                  <c:v> S. BIENESTAR UNIVERSITARIO</c:v>
                </c:pt>
                <c:pt idx="4">
                  <c:v> S. ADMINISTRATIVO</c:v>
                </c:pt>
              </c:strCache>
            </c:strRef>
          </c:cat>
          <c:val>
            <c:numRef>
              <c:f>'P.ACCION A OCTUBRE consolid (2'!$EI$196:$EI$200</c:f>
              <c:numCache>
                <c:formatCode>#,##0</c:formatCode>
                <c:ptCount val="5"/>
                <c:pt idx="0">
                  <c:v>1122567751</c:v>
                </c:pt>
                <c:pt idx="1">
                  <c:v>3906305329</c:v>
                </c:pt>
                <c:pt idx="2">
                  <c:v>1966515918</c:v>
                </c:pt>
                <c:pt idx="3">
                  <c:v>2270218833</c:v>
                </c:pt>
                <c:pt idx="4">
                  <c:v>5216574148</c:v>
                </c:pt>
              </c:numCache>
            </c:numRef>
          </c:val>
        </c:ser>
        <c:ser>
          <c:idx val="2"/>
          <c:order val="2"/>
          <c:tx>
            <c:strRef>
              <c:f>'P.ACCION A OCTUBRE consolid (2'!$EJ$195</c:f>
              <c:strCache>
                <c:ptCount val="1"/>
                <c:pt idx="0">
                  <c:v>PORCENTAJE</c:v>
                </c:pt>
              </c:strCache>
            </c:strRef>
          </c:tx>
          <c:invertIfNegative val="0"/>
          <c:dLbls>
            <c:dLbl>
              <c:idx val="0"/>
              <c:layout>
                <c:manualLayout>
                  <c:x val="-5.8316762012925981E-2"/>
                  <c:y val="-3.1335679643750333E-3"/>
                </c:manualLayout>
              </c:layout>
              <c:showLegendKey val="0"/>
              <c:showVal val="1"/>
              <c:showCatName val="0"/>
              <c:showSerName val="0"/>
              <c:showPercent val="0"/>
              <c:showBubbleSize val="0"/>
            </c:dLbl>
            <c:dLbl>
              <c:idx val="1"/>
              <c:layout>
                <c:manualLayout>
                  <c:x val="-5.8316762012925981E-2"/>
                  <c:y val="-1.2534271857500133E-2"/>
                </c:manualLayout>
              </c:layout>
              <c:showLegendKey val="0"/>
              <c:showVal val="1"/>
              <c:showCatName val="0"/>
              <c:showSerName val="0"/>
              <c:showPercent val="0"/>
              <c:showBubbleSize val="0"/>
            </c:dLbl>
            <c:dLbl>
              <c:idx val="2"/>
              <c:layout>
                <c:manualLayout>
                  <c:x val="-6.0083936619378282E-2"/>
                  <c:y val="0"/>
                </c:manualLayout>
              </c:layout>
              <c:showLegendKey val="0"/>
              <c:showVal val="1"/>
              <c:showCatName val="0"/>
              <c:showSerName val="0"/>
              <c:showPercent val="0"/>
              <c:showBubbleSize val="0"/>
            </c:dLbl>
            <c:dLbl>
              <c:idx val="3"/>
              <c:layout>
                <c:manualLayout>
                  <c:x val="-6.1851111225830584E-2"/>
                  <c:y val="0"/>
                </c:manualLayout>
              </c:layout>
              <c:showLegendKey val="0"/>
              <c:showVal val="1"/>
              <c:showCatName val="0"/>
              <c:showSerName val="0"/>
              <c:showPercent val="0"/>
              <c:showBubbleSize val="0"/>
            </c:dLbl>
            <c:dLbl>
              <c:idx val="4"/>
              <c:layout>
                <c:manualLayout>
                  <c:x val="-5.8316762012925981E-2"/>
                  <c:y val="-6.2671359287500665E-3"/>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(2'!$EF$196:$EF$200</c:f>
              <c:strCache>
                <c:ptCount val="5"/>
                <c:pt idx="0">
                  <c:v> S. FORMACION</c:v>
                </c:pt>
                <c:pt idx="1">
                  <c:v> S. INVESTIGACIÓN</c:v>
                </c:pt>
                <c:pt idx="2">
                  <c:v> S.PROYECCION SOCIAL</c:v>
                </c:pt>
                <c:pt idx="3">
                  <c:v> S. BIENESTAR UNIVERSITARIO</c:v>
                </c:pt>
                <c:pt idx="4">
                  <c:v> S. ADMINISTRATIVO</c:v>
                </c:pt>
              </c:strCache>
            </c:strRef>
          </c:cat>
          <c:val>
            <c:numRef>
              <c:f>'P.ACCION A OCTUBRE consolid (2'!$EJ$196:$EJ$200</c:f>
              <c:numCache>
                <c:formatCode>0.00%</c:formatCode>
                <c:ptCount val="5"/>
                <c:pt idx="0">
                  <c:v>0.59799999999999998</c:v>
                </c:pt>
                <c:pt idx="1">
                  <c:v>0.59770000000000001</c:v>
                </c:pt>
                <c:pt idx="2">
                  <c:v>0.65790000000000004</c:v>
                </c:pt>
                <c:pt idx="3">
                  <c:v>0.88849999999999996</c:v>
                </c:pt>
                <c:pt idx="4">
                  <c:v>0.46860000000000002</c:v>
                </c:pt>
              </c:numCache>
            </c:numRef>
          </c:val>
        </c:ser>
        <c:dLbls>
          <c:showLegendKey val="0"/>
          <c:showVal val="1"/>
          <c:showCatName val="0"/>
          <c:showSerName val="0"/>
          <c:showPercent val="0"/>
          <c:showBubbleSize val="0"/>
        </c:dLbls>
        <c:gapWidth val="150"/>
        <c:shape val="box"/>
        <c:axId val="183594368"/>
        <c:axId val="187397632"/>
        <c:axId val="0"/>
      </c:bar3DChart>
      <c:catAx>
        <c:axId val="183594368"/>
        <c:scaling>
          <c:orientation val="minMax"/>
        </c:scaling>
        <c:delete val="0"/>
        <c:axPos val="b"/>
        <c:majorTickMark val="out"/>
        <c:minorTickMark val="none"/>
        <c:tickLblPos val="nextTo"/>
        <c:crossAx val="187397632"/>
        <c:crosses val="autoZero"/>
        <c:auto val="1"/>
        <c:lblAlgn val="ctr"/>
        <c:lblOffset val="100"/>
        <c:noMultiLvlLbl val="0"/>
      </c:catAx>
      <c:valAx>
        <c:axId val="187397632"/>
        <c:scaling>
          <c:orientation val="minMax"/>
        </c:scaling>
        <c:delete val="1"/>
        <c:axPos val="l"/>
        <c:majorGridlines/>
        <c:numFmt formatCode="#,##0" sourceLinked="1"/>
        <c:majorTickMark val="none"/>
        <c:minorTickMark val="none"/>
        <c:tickLblPos val="nextTo"/>
        <c:crossAx val="183594368"/>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EJECUCION PLAN DE ACCION POR RUBROS PRESUPUESTALES </a:t>
            </a:r>
            <a:endParaRPr lang="es-CO">
              <a:effectLst/>
            </a:endParaRPr>
          </a:p>
          <a:p>
            <a:pPr>
              <a:defRPr/>
            </a:pPr>
            <a:r>
              <a:rPr lang="es-CO" sz="1800" b="1" i="0" baseline="0">
                <a:effectLst/>
              </a:rPr>
              <a:t>A  OCTUBRE DE 2015</a:t>
            </a:r>
            <a:endParaRPr lang="es-CO">
              <a:effectLst/>
            </a:endParaRPr>
          </a:p>
        </c:rich>
      </c:tx>
      <c:layout/>
      <c:overlay val="0"/>
    </c:title>
    <c:autoTitleDeleted val="0"/>
    <c:view3D>
      <c:rotX val="20"/>
      <c:rotY val="20"/>
      <c:depthPercent val="120"/>
      <c:rAngAx val="1"/>
    </c:view3D>
    <c:floor>
      <c:thickness val="0"/>
    </c:floor>
    <c:sideWall>
      <c:thickness val="0"/>
    </c:sideWall>
    <c:backWall>
      <c:thickness val="0"/>
    </c:backWall>
    <c:plotArea>
      <c:layout/>
      <c:bar3DChart>
        <c:barDir val="col"/>
        <c:grouping val="clustered"/>
        <c:varyColors val="0"/>
        <c:ser>
          <c:idx val="0"/>
          <c:order val="0"/>
          <c:tx>
            <c:strRef>
              <c:f>'P.ACCION A OCTUBRE consolid (2'!$EH$195</c:f>
              <c:strCache>
                <c:ptCount val="1"/>
                <c:pt idx="0">
                  <c:v>ASIGNADO</c:v>
                </c:pt>
              </c:strCache>
            </c:strRef>
          </c:tx>
          <c:invertIfNegative val="0"/>
          <c:dLbls>
            <c:dLbl>
              <c:idx val="0"/>
              <c:layout>
                <c:manualLayout>
                  <c:x val="6.7043774701770762E-3"/>
                  <c:y val="-7.2595281306715061E-3"/>
                </c:manualLayout>
              </c:layout>
              <c:showLegendKey val="0"/>
              <c:showVal val="1"/>
              <c:showCatName val="0"/>
              <c:showSerName val="0"/>
              <c:showPercent val="0"/>
              <c:showBubbleSize val="0"/>
            </c:dLbl>
            <c:dLbl>
              <c:idx val="2"/>
              <c:layout>
                <c:manualLayout>
                  <c:x val="0"/>
                  <c:y val="-1.4519056261343012E-2"/>
                </c:manualLayout>
              </c:layout>
              <c:showLegendKey val="0"/>
              <c:showVal val="1"/>
              <c:showCatName val="0"/>
              <c:showSerName val="0"/>
              <c:showPercent val="0"/>
              <c:showBubbleSize val="0"/>
            </c:dLbl>
            <c:dLbl>
              <c:idx val="3"/>
              <c:layout>
                <c:manualLayout>
                  <c:x val="0"/>
                  <c:y val="-7.2595281306715061E-3"/>
                </c:manualLayout>
              </c:layout>
              <c:showLegendKey val="0"/>
              <c:showVal val="1"/>
              <c:showCatName val="0"/>
              <c:showSerName val="0"/>
              <c:showPercent val="0"/>
              <c:showBubbleSize val="0"/>
            </c:dLbl>
            <c:dLbl>
              <c:idx val="4"/>
              <c:layout>
                <c:manualLayout>
                  <c:x val="-6.1456083530701926E-17"/>
                  <c:y val="-1.2099213551119177E-2"/>
                </c:manualLayout>
              </c:layout>
              <c:showLegendKey val="0"/>
              <c:showVal val="1"/>
              <c:showCatName val="0"/>
              <c:showSerName val="0"/>
              <c:showPercent val="0"/>
              <c:showBubbleSize val="0"/>
            </c:dLbl>
            <c:dLbl>
              <c:idx val="5"/>
              <c:layout>
                <c:manualLayout>
                  <c:x val="0"/>
                  <c:y val="-2.1778584392014518E-2"/>
                </c:manualLayout>
              </c:layout>
              <c:showLegendKey val="0"/>
              <c:showVal val="1"/>
              <c:showCatName val="0"/>
              <c:showSerName val="0"/>
              <c:showPercent val="0"/>
              <c:showBubbleSize val="0"/>
            </c:dLbl>
            <c:dLbl>
              <c:idx val="6"/>
              <c:layout>
                <c:manualLayout>
                  <c:x val="5.0282831026328013E-3"/>
                  <c:y val="-5.0816696914700546E-2"/>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(2'!$EF$203:$EF$209</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OCTUBRE consolid (2'!$EH$203:$EH$209</c:f>
              <c:numCache>
                <c:formatCode>#,##0</c:formatCode>
                <c:ptCount val="7"/>
                <c:pt idx="0">
                  <c:v>6657597529</c:v>
                </c:pt>
                <c:pt idx="1">
                  <c:v>3641271790</c:v>
                </c:pt>
                <c:pt idx="2">
                  <c:v>1176253184</c:v>
                </c:pt>
                <c:pt idx="3">
                  <c:v>6535792729</c:v>
                </c:pt>
                <c:pt idx="4">
                  <c:v>1533700000</c:v>
                </c:pt>
                <c:pt idx="5">
                  <c:v>2989241271</c:v>
                </c:pt>
                <c:pt idx="6">
                  <c:v>2555236800</c:v>
                </c:pt>
              </c:numCache>
            </c:numRef>
          </c:val>
        </c:ser>
        <c:ser>
          <c:idx val="1"/>
          <c:order val="1"/>
          <c:tx>
            <c:strRef>
              <c:f>'P.ACCION A OCTUBRE consolid (2'!$EI$195</c:f>
              <c:strCache>
                <c:ptCount val="1"/>
                <c:pt idx="0">
                  <c:v>EJECUTADO</c:v>
                </c:pt>
              </c:strCache>
            </c:strRef>
          </c:tx>
          <c:invertIfNegative val="0"/>
          <c:dLbls>
            <c:dLbl>
              <c:idx val="2"/>
              <c:layout>
                <c:manualLayout>
                  <c:x val="1.0056566205265603E-2"/>
                  <c:y val="2.4198427102238356E-3"/>
                </c:manualLayout>
              </c:layout>
              <c:showLegendKey val="0"/>
              <c:showVal val="1"/>
              <c:showCatName val="0"/>
              <c:showSerName val="0"/>
              <c:showPercent val="0"/>
              <c:showBubbleSize val="0"/>
            </c:dLbl>
            <c:dLbl>
              <c:idx val="4"/>
              <c:layout>
                <c:manualLayout>
                  <c:x val="1.173266057280987E-2"/>
                  <c:y val="-1.6938898971566758E-2"/>
                </c:manualLayout>
              </c:layout>
              <c:showLegendKey val="0"/>
              <c:showVal val="1"/>
              <c:showCatName val="0"/>
              <c:showSerName val="0"/>
              <c:showPercent val="0"/>
              <c:showBubbleSize val="0"/>
            </c:dLbl>
            <c:dLbl>
              <c:idx val="5"/>
              <c:layout>
                <c:manualLayout>
                  <c:x val="0"/>
                  <c:y val="-2.4198427102238355E-2"/>
                </c:manualLayout>
              </c:layout>
              <c:showLegendKey val="0"/>
              <c:showVal val="1"/>
              <c:showCatName val="0"/>
              <c:showSerName val="0"/>
              <c:showPercent val="0"/>
              <c:showBubbleSize val="0"/>
            </c:dLbl>
            <c:dLbl>
              <c:idx val="6"/>
              <c:layout>
                <c:manualLayout>
                  <c:x val="1.173266057280987E-2"/>
                  <c:y val="-2.1778584392014518E-2"/>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(2'!$EF$203:$EF$209</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OCTUBRE consolid (2'!$EI$203:$EI$209</c:f>
              <c:numCache>
                <c:formatCode>#,##0</c:formatCode>
                <c:ptCount val="7"/>
                <c:pt idx="0">
                  <c:v>2281390174</c:v>
                </c:pt>
                <c:pt idx="1">
                  <c:v>2334992155</c:v>
                </c:pt>
                <c:pt idx="2">
                  <c:v>867111433</c:v>
                </c:pt>
                <c:pt idx="3">
                  <c:v>3906305329</c:v>
                </c:pt>
                <c:pt idx="4">
                  <c:v>855648137</c:v>
                </c:pt>
                <c:pt idx="5">
                  <c:v>1966515918</c:v>
                </c:pt>
                <c:pt idx="6">
                  <c:v>2270218833</c:v>
                </c:pt>
              </c:numCache>
            </c:numRef>
          </c:val>
        </c:ser>
        <c:ser>
          <c:idx val="2"/>
          <c:order val="2"/>
          <c:tx>
            <c:strRef>
              <c:f>'P.ACCION A OCTUBRE consolid (2'!$EJ$195</c:f>
              <c:strCache>
                <c:ptCount val="1"/>
                <c:pt idx="0">
                  <c:v>PORCENTAJE</c:v>
                </c:pt>
              </c:strCache>
            </c:strRef>
          </c:tx>
          <c:invertIfNegative val="0"/>
          <c:dLbls>
            <c:dLbl>
              <c:idx val="0"/>
              <c:layout>
                <c:manualLayout>
                  <c:x val="-4.1902359188606658E-2"/>
                  <c:y val="-1.4519056261342924E-2"/>
                </c:manualLayout>
              </c:layout>
              <c:showLegendKey val="0"/>
              <c:showVal val="1"/>
              <c:showCatName val="0"/>
              <c:showSerName val="0"/>
              <c:showPercent val="0"/>
              <c:showBubbleSize val="0"/>
            </c:dLbl>
            <c:dLbl>
              <c:idx val="1"/>
              <c:layout>
                <c:manualLayout>
                  <c:x val="-4.022626482106241E-2"/>
                  <c:y val="-1.4519056261342924E-2"/>
                </c:manualLayout>
              </c:layout>
              <c:showLegendKey val="0"/>
              <c:showVal val="1"/>
              <c:showCatName val="0"/>
              <c:showSerName val="0"/>
              <c:showPercent val="0"/>
              <c:showBubbleSize val="0"/>
            </c:dLbl>
            <c:dLbl>
              <c:idx val="2"/>
              <c:layout>
                <c:manualLayout>
                  <c:x val="-4.022626482106241E-2"/>
                  <c:y val="-2.4198427102237467E-3"/>
                </c:manualLayout>
              </c:layout>
              <c:showLegendKey val="0"/>
              <c:showVal val="1"/>
              <c:showCatName val="0"/>
              <c:showSerName val="0"/>
              <c:showPercent val="0"/>
              <c:showBubbleSize val="0"/>
            </c:dLbl>
            <c:dLbl>
              <c:idx val="3"/>
              <c:layout>
                <c:manualLayout>
                  <c:x val="-3.5197981718429611E-2"/>
                  <c:y val="-7.2595281306714176E-3"/>
                </c:manualLayout>
              </c:layout>
              <c:showLegendKey val="0"/>
              <c:showVal val="1"/>
              <c:showCatName val="0"/>
              <c:showSerName val="0"/>
              <c:showPercent val="0"/>
              <c:showBubbleSize val="0"/>
            </c:dLbl>
            <c:dLbl>
              <c:idx val="4"/>
              <c:layout>
                <c:manualLayout>
                  <c:x val="-3.5197981718429611E-2"/>
                  <c:y val="-2.4198427102237467E-3"/>
                </c:manualLayout>
              </c:layout>
              <c:showLegendKey val="0"/>
              <c:showVal val="1"/>
              <c:showCatName val="0"/>
              <c:showSerName val="0"/>
              <c:showPercent val="0"/>
              <c:showBubbleSize val="0"/>
            </c:dLbl>
            <c:dLbl>
              <c:idx val="5"/>
              <c:layout>
                <c:manualLayout>
                  <c:x val="-4.022626482106241E-2"/>
                  <c:y val="8.8726541064966914E-17"/>
                </c:manualLayout>
              </c:layout>
              <c:showLegendKey val="0"/>
              <c:showVal val="1"/>
              <c:showCatName val="0"/>
              <c:showSerName val="0"/>
              <c:showPercent val="0"/>
              <c:showBubbleSize val="0"/>
            </c:dLbl>
            <c:dLbl>
              <c:idx val="6"/>
              <c:layout>
                <c:manualLayout>
                  <c:x val="-3.6874076085973997E-2"/>
                  <c:y val="-2.4198427102237467E-3"/>
                </c:manualLayout>
              </c:layout>
              <c:showLegendKey val="0"/>
              <c:showVal val="1"/>
              <c:showCatName val="0"/>
              <c:showSerName val="0"/>
              <c:showPercent val="0"/>
              <c:showBubbleSize val="0"/>
            </c:dLbl>
            <c:txPr>
              <a:bodyPr/>
              <a:lstStyle/>
              <a:p>
                <a:pPr>
                  <a:defRPr sz="1100" b="1"/>
                </a:pPr>
                <a:endParaRPr lang="es-CO"/>
              </a:p>
            </c:txPr>
            <c:showLegendKey val="0"/>
            <c:showVal val="1"/>
            <c:showCatName val="0"/>
            <c:showSerName val="0"/>
            <c:showPercent val="0"/>
            <c:showBubbleSize val="0"/>
            <c:showLeaderLines val="0"/>
          </c:dLbls>
          <c:cat>
            <c:strRef>
              <c:f>'P.ACCION A OCTUBRE consolid (2'!$EF$203:$EF$209</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'P.ACCION A OCTUBRE consolid (2'!$EJ$203:$EJ$209</c:f>
              <c:numCache>
                <c:formatCode>0.00%</c:formatCode>
                <c:ptCount val="7"/>
                <c:pt idx="0">
                  <c:v>0.3427</c:v>
                </c:pt>
                <c:pt idx="1">
                  <c:v>0.64129999999999998</c:v>
                </c:pt>
                <c:pt idx="2">
                  <c:v>0.73719999999999997</c:v>
                </c:pt>
                <c:pt idx="3">
                  <c:v>0.59770000000000001</c:v>
                </c:pt>
                <c:pt idx="4">
                  <c:v>0.55789999999999995</c:v>
                </c:pt>
                <c:pt idx="5">
                  <c:v>0.65790000000000004</c:v>
                </c:pt>
                <c:pt idx="6">
                  <c:v>0.88849999999999996</c:v>
                </c:pt>
              </c:numCache>
            </c:numRef>
          </c:val>
        </c:ser>
        <c:dLbls>
          <c:showLegendKey val="0"/>
          <c:showVal val="1"/>
          <c:showCatName val="0"/>
          <c:showSerName val="0"/>
          <c:showPercent val="0"/>
          <c:showBubbleSize val="0"/>
        </c:dLbls>
        <c:gapWidth val="150"/>
        <c:shape val="box"/>
        <c:axId val="191817600"/>
        <c:axId val="191819136"/>
        <c:axId val="0"/>
      </c:bar3DChart>
      <c:catAx>
        <c:axId val="191817600"/>
        <c:scaling>
          <c:orientation val="minMax"/>
        </c:scaling>
        <c:delete val="0"/>
        <c:axPos val="b"/>
        <c:majorTickMark val="none"/>
        <c:minorTickMark val="none"/>
        <c:tickLblPos val="nextTo"/>
        <c:crossAx val="191819136"/>
        <c:crosses val="autoZero"/>
        <c:auto val="1"/>
        <c:lblAlgn val="ctr"/>
        <c:lblOffset val="100"/>
        <c:noMultiLvlLbl val="0"/>
      </c:catAx>
      <c:valAx>
        <c:axId val="191819136"/>
        <c:scaling>
          <c:orientation val="minMax"/>
        </c:scaling>
        <c:delete val="1"/>
        <c:axPos val="l"/>
        <c:majorGridlines/>
        <c:numFmt formatCode="#,##0" sourceLinked="1"/>
        <c:majorTickMark val="none"/>
        <c:minorTickMark val="none"/>
        <c:tickLblPos val="nextTo"/>
        <c:crossAx val="191817600"/>
        <c:crosses val="autoZero"/>
        <c:crossBetween val="between"/>
      </c:valAx>
    </c:plotArea>
    <c:legend>
      <c:legendPos val="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414337</xdr:colOff>
      <xdr:row>207</xdr:row>
      <xdr:rowOff>33337</xdr:rowOff>
    </xdr:from>
    <xdr:to>
      <xdr:col>69</xdr:col>
      <xdr:colOff>85724</xdr:colOff>
      <xdr:row>232</xdr:row>
      <xdr:rowOff>142875</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395286</xdr:colOff>
      <xdr:row>234</xdr:row>
      <xdr:rowOff>85724</xdr:rowOff>
    </xdr:from>
    <xdr:to>
      <xdr:col>69</xdr:col>
      <xdr:colOff>104775</xdr:colOff>
      <xdr:row>261</xdr:row>
      <xdr:rowOff>190499</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RZO%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ABRIL%20DE%202015-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ci&#243;n/Desktop/Copia%20de%20MAYO%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YO%20DE%2020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Copia%20de%20JUNIO%202015-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JULIO%20DE%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AGOSTO%20DE%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EPTIEMBRE%20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OCTUBRE%20DE%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laneaci&#243;n/Desktop/INFORMACION%202015/EJECUCION%20MENSUAL%20PLAN%20DE%20ACCION%202015/ANTEPROYECTO%20PRESUPUSTO%202015/INFORME%20PRESUPUESTAL%202015/ENERO%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FEBRERO%20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ci&#243;n/Desktop/FEBRER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488">
          <cell r="J488">
            <v>80000000</v>
          </cell>
        </row>
        <row r="496">
          <cell r="W496">
            <v>100000000</v>
          </cell>
        </row>
        <row r="535">
          <cell r="V535">
            <v>15000000</v>
          </cell>
        </row>
        <row r="635">
          <cell r="Z635">
            <v>80844085</v>
          </cell>
        </row>
        <row r="700">
          <cell r="V700">
            <v>57329123</v>
          </cell>
        </row>
        <row r="1089">
          <cell r="H1089">
            <v>876100</v>
          </cell>
        </row>
        <row r="1116">
          <cell r="N1116">
            <v>3000000</v>
          </cell>
        </row>
        <row r="1117">
          <cell r="H1117">
            <v>3000000</v>
          </cell>
        </row>
        <row r="1120">
          <cell r="H1120">
            <v>6828964</v>
          </cell>
        </row>
        <row r="1122">
          <cell r="N1122">
            <v>6829000</v>
          </cell>
        </row>
        <row r="1360">
          <cell r="O1360">
            <v>370000000</v>
          </cell>
        </row>
        <row r="1462">
          <cell r="O1462">
            <v>20000000</v>
          </cell>
        </row>
        <row r="1463">
          <cell r="O1463">
            <v>20000000</v>
          </cell>
        </row>
        <row r="1529">
          <cell r="L1529">
            <v>70000000</v>
          </cell>
          <cell r="N1529">
            <v>110733333</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571">
          <cell r="H571">
            <v>100000000</v>
          </cell>
        </row>
        <row r="632">
          <cell r="H632">
            <v>870000000</v>
          </cell>
        </row>
        <row r="1101">
          <cell r="H1101">
            <v>15000000</v>
          </cell>
        </row>
        <row r="1104">
          <cell r="H1104">
            <v>3078500</v>
          </cell>
        </row>
        <row r="1193">
          <cell r="N1193">
            <v>10000000</v>
          </cell>
        </row>
        <row r="1194">
          <cell r="H1194">
            <v>10000000</v>
          </cell>
        </row>
        <row r="1730">
          <cell r="L1730">
            <v>40000000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111">
          <cell r="H111">
            <v>435113123</v>
          </cell>
        </row>
        <row r="689">
          <cell r="H689">
            <v>2577400</v>
          </cell>
        </row>
        <row r="730">
          <cell r="H730">
            <v>100000000</v>
          </cell>
        </row>
        <row r="740">
          <cell r="H740">
            <v>180000000</v>
          </cell>
        </row>
        <row r="858">
          <cell r="H858">
            <v>2081930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79">
          <cell r="L79">
            <v>375890110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171">
          <cell r="H171">
            <v>189556618</v>
          </cell>
        </row>
        <row r="180">
          <cell r="M180">
            <v>8300998</v>
          </cell>
          <cell r="U180">
            <v>40655038</v>
          </cell>
        </row>
        <row r="210">
          <cell r="H210">
            <v>186695</v>
          </cell>
        </row>
        <row r="212">
          <cell r="M212">
            <v>930000</v>
          </cell>
        </row>
        <row r="235">
          <cell r="M235">
            <v>239816980</v>
          </cell>
        </row>
        <row r="297">
          <cell r="Y297">
            <v>25530452</v>
          </cell>
        </row>
        <row r="749">
          <cell r="W749">
            <v>282584300</v>
          </cell>
        </row>
        <row r="782">
          <cell r="H782">
            <v>3045000</v>
          </cell>
        </row>
        <row r="788">
          <cell r="W788">
            <v>52000000</v>
          </cell>
          <cell r="X788">
            <v>109019196</v>
          </cell>
          <cell r="Z788">
            <v>870000000</v>
          </cell>
        </row>
        <row r="866">
          <cell r="M866">
            <v>303820881</v>
          </cell>
        </row>
        <row r="871">
          <cell r="H871">
            <v>300000000</v>
          </cell>
        </row>
        <row r="882">
          <cell r="H882">
            <v>3820881</v>
          </cell>
        </row>
        <row r="891">
          <cell r="K891">
            <v>7649518</v>
          </cell>
        </row>
        <row r="897">
          <cell r="K897">
            <v>61175928</v>
          </cell>
          <cell r="O897">
            <v>50000000</v>
          </cell>
        </row>
        <row r="898">
          <cell r="H898">
            <v>61175928</v>
          </cell>
        </row>
        <row r="924">
          <cell r="H924">
            <v>20000000</v>
          </cell>
        </row>
        <row r="956">
          <cell r="O956">
            <v>10000000</v>
          </cell>
        </row>
        <row r="1009">
          <cell r="K1009">
            <v>9546220</v>
          </cell>
          <cell r="P1009">
            <v>20000000</v>
          </cell>
        </row>
        <row r="1010">
          <cell r="H1010">
            <v>9546220</v>
          </cell>
        </row>
        <row r="1023">
          <cell r="K1023">
            <v>2081930</v>
          </cell>
          <cell r="P1023">
            <v>20000000</v>
          </cell>
        </row>
        <row r="1062">
          <cell r="K1062">
            <v>4881000</v>
          </cell>
          <cell r="O1062">
            <v>90000000</v>
          </cell>
          <cell r="P1062">
            <v>15000000</v>
          </cell>
          <cell r="W1062">
            <v>10000000</v>
          </cell>
          <cell r="X1062">
            <v>122718083</v>
          </cell>
          <cell r="Y1062">
            <v>50000000</v>
          </cell>
        </row>
        <row r="1093">
          <cell r="H1093">
            <v>102810569</v>
          </cell>
        </row>
        <row r="1391">
          <cell r="M1391">
            <v>343263290</v>
          </cell>
        </row>
        <row r="1412">
          <cell r="M1412">
            <v>128637860</v>
          </cell>
        </row>
        <row r="1453">
          <cell r="Y1453">
            <v>45000000</v>
          </cell>
        </row>
        <row r="1613">
          <cell r="X1613">
            <v>2068912</v>
          </cell>
        </row>
        <row r="1673">
          <cell r="W1673">
            <v>40000000</v>
          </cell>
          <cell r="X1673">
            <v>7640994</v>
          </cell>
        </row>
        <row r="1705">
          <cell r="O1705">
            <v>85000000</v>
          </cell>
          <cell r="Y1705">
            <v>1500000</v>
          </cell>
        </row>
        <row r="1939">
          <cell r="H1939">
            <v>12228000</v>
          </cell>
        </row>
        <row r="2022">
          <cell r="H2022">
            <v>4550000</v>
          </cell>
        </row>
        <row r="2249">
          <cell r="X2249">
            <v>10000000</v>
          </cell>
        </row>
        <row r="2252">
          <cell r="H2252">
            <v>40000000</v>
          </cell>
        </row>
        <row r="2333">
          <cell r="H2333">
            <v>10000000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IO 2015"/>
    </sheetNames>
    <sheetDataSet>
      <sheetData sheetId="0">
        <row r="28">
          <cell r="M28">
            <v>323401561</v>
          </cell>
        </row>
        <row r="138">
          <cell r="H138">
            <v>239600131</v>
          </cell>
        </row>
        <row r="208">
          <cell r="M208">
            <v>372698968</v>
          </cell>
        </row>
        <row r="332">
          <cell r="H332">
            <v>116640423</v>
          </cell>
        </row>
        <row r="347">
          <cell r="H347">
            <v>92095815</v>
          </cell>
        </row>
        <row r="358">
          <cell r="H358">
            <v>7976469</v>
          </cell>
        </row>
        <row r="363">
          <cell r="AD363">
            <v>5000000</v>
          </cell>
        </row>
        <row r="577">
          <cell r="O577">
            <v>30000000</v>
          </cell>
        </row>
        <row r="716">
          <cell r="G716">
            <v>20000000</v>
          </cell>
        </row>
        <row r="771">
          <cell r="AD771">
            <v>29000000</v>
          </cell>
        </row>
        <row r="839">
          <cell r="AD839">
            <v>12000000</v>
          </cell>
        </row>
        <row r="1127">
          <cell r="H1127">
            <v>6500000</v>
          </cell>
        </row>
        <row r="1192">
          <cell r="Y1192">
            <v>23611711</v>
          </cell>
        </row>
        <row r="1215">
          <cell r="Y1215">
            <v>25000000</v>
          </cell>
        </row>
        <row r="1233">
          <cell r="G1233">
            <v>8000000</v>
          </cell>
        </row>
        <row r="1386">
          <cell r="Y1386">
            <v>1450000</v>
          </cell>
        </row>
        <row r="1401">
          <cell r="H1401">
            <v>4000000</v>
          </cell>
        </row>
        <row r="1462">
          <cell r="AD1462">
            <v>6000000</v>
          </cell>
        </row>
        <row r="1469">
          <cell r="Y1469">
            <v>20000000</v>
          </cell>
        </row>
        <row r="1506">
          <cell r="H1506">
            <v>14002131</v>
          </cell>
        </row>
        <row r="1634">
          <cell r="G1634">
            <v>2000000</v>
          </cell>
        </row>
        <row r="1957">
          <cell r="W1957">
            <v>3000000</v>
          </cell>
        </row>
        <row r="1958">
          <cell r="H1958">
            <v>10640000</v>
          </cell>
        </row>
        <row r="1962">
          <cell r="AD1962">
            <v>5000000</v>
          </cell>
        </row>
        <row r="1989">
          <cell r="H1989">
            <v>43238890</v>
          </cell>
        </row>
        <row r="1995">
          <cell r="H1995">
            <v>7178800</v>
          </cell>
        </row>
        <row r="1997">
          <cell r="H1997">
            <v>33047433</v>
          </cell>
        </row>
        <row r="2168">
          <cell r="AD2168">
            <v>4500000</v>
          </cell>
        </row>
        <row r="2253">
          <cell r="AD2253">
            <v>3000000</v>
          </cell>
        </row>
        <row r="2291">
          <cell r="AD2291">
            <v>2898900</v>
          </cell>
        </row>
        <row r="2631">
          <cell r="H2631">
            <v>8739200</v>
          </cell>
        </row>
        <row r="2656">
          <cell r="H2656">
            <v>7792400</v>
          </cell>
        </row>
        <row r="2722">
          <cell r="H2722">
            <v>110733333</v>
          </cell>
        </row>
        <row r="2743">
          <cell r="AD2743">
            <v>27579091</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OSTO 2015"/>
    </sheetNames>
    <sheetDataSet>
      <sheetData sheetId="0">
        <row r="33">
          <cell r="N33">
            <v>17503290</v>
          </cell>
        </row>
        <row r="34">
          <cell r="H34">
            <v>573913088</v>
          </cell>
        </row>
        <row r="43">
          <cell r="G43">
            <v>12442500</v>
          </cell>
        </row>
        <row r="45">
          <cell r="H45">
            <v>4948972</v>
          </cell>
        </row>
        <row r="47">
          <cell r="H47">
            <v>5160000</v>
          </cell>
        </row>
        <row r="50">
          <cell r="H50">
            <v>2441568</v>
          </cell>
        </row>
        <row r="156">
          <cell r="G156">
            <v>72115000</v>
          </cell>
        </row>
        <row r="214">
          <cell r="H214">
            <v>372698968</v>
          </cell>
        </row>
        <row r="231">
          <cell r="H231">
            <v>96000000</v>
          </cell>
        </row>
        <row r="233">
          <cell r="M233">
            <v>96000000</v>
          </cell>
        </row>
        <row r="305">
          <cell r="H305">
            <v>167851094</v>
          </cell>
        </row>
        <row r="339">
          <cell r="AD339">
            <v>3525240</v>
          </cell>
        </row>
        <row r="401">
          <cell r="AC401">
            <v>92524043</v>
          </cell>
        </row>
        <row r="943">
          <cell r="W943">
            <v>298208000</v>
          </cell>
        </row>
        <row r="997">
          <cell r="AD997">
            <v>15200000</v>
          </cell>
        </row>
        <row r="1265">
          <cell r="H1265">
            <v>1064000</v>
          </cell>
        </row>
        <row r="1429">
          <cell r="H1429">
            <v>3795000</v>
          </cell>
        </row>
        <row r="1430">
          <cell r="H1430">
            <v>1086000</v>
          </cell>
        </row>
        <row r="1852">
          <cell r="H1852">
            <v>128637860</v>
          </cell>
        </row>
        <row r="1942">
          <cell r="H1942">
            <v>6000000</v>
          </cell>
        </row>
        <row r="1944">
          <cell r="W1944">
            <v>6000000</v>
          </cell>
        </row>
        <row r="2265">
          <cell r="H2265">
            <v>74061157</v>
          </cell>
        </row>
        <row r="2267">
          <cell r="O2267">
            <v>74061157</v>
          </cell>
        </row>
        <row r="2329">
          <cell r="G2329">
            <v>99940000</v>
          </cell>
        </row>
        <row r="2654">
          <cell r="AD2654">
            <v>4550000</v>
          </cell>
        </row>
        <row r="3027">
          <cell r="H3027">
            <v>646074</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IEMBRE 2015"/>
    </sheetNames>
    <sheetDataSet>
      <sheetData sheetId="0">
        <row r="28">
          <cell r="M28">
            <v>327000000</v>
          </cell>
          <cell r="Y28">
            <v>22661694</v>
          </cell>
        </row>
        <row r="33">
          <cell r="H33">
            <v>22661694</v>
          </cell>
        </row>
        <row r="38">
          <cell r="M38">
            <v>586355588</v>
          </cell>
        </row>
        <row r="128">
          <cell r="H128">
            <v>661861284</v>
          </cell>
        </row>
        <row r="130">
          <cell r="M130">
            <v>667109992</v>
          </cell>
        </row>
        <row r="152">
          <cell r="M152">
            <v>239600131</v>
          </cell>
        </row>
        <row r="271">
          <cell r="U271">
            <v>10200000</v>
          </cell>
        </row>
        <row r="291">
          <cell r="M291">
            <v>325102296</v>
          </cell>
        </row>
        <row r="292">
          <cell r="H292">
            <v>36999994</v>
          </cell>
        </row>
        <row r="327">
          <cell r="M327">
            <v>182250104</v>
          </cell>
        </row>
        <row r="341">
          <cell r="M341">
            <v>487458456</v>
          </cell>
          <cell r="AD341">
            <v>58516378</v>
          </cell>
        </row>
        <row r="400">
          <cell r="H400">
            <v>77280360</v>
          </cell>
        </row>
        <row r="411">
          <cell r="AD411">
            <v>24347924</v>
          </cell>
        </row>
        <row r="938">
          <cell r="H938">
            <v>11972498</v>
          </cell>
        </row>
        <row r="978">
          <cell r="H978">
            <v>52739455</v>
          </cell>
        </row>
        <row r="992">
          <cell r="H992">
            <v>57332905</v>
          </cell>
        </row>
        <row r="1006">
          <cell r="H1006">
            <v>21234417</v>
          </cell>
        </row>
        <row r="1144">
          <cell r="H1144">
            <v>1000000</v>
          </cell>
        </row>
        <row r="1193">
          <cell r="AD1193">
            <v>8000000</v>
          </cell>
        </row>
        <row r="1202">
          <cell r="J1202">
            <v>23245422</v>
          </cell>
        </row>
        <row r="1352">
          <cell r="Y1352">
            <v>63191895</v>
          </cell>
        </row>
        <row r="1368">
          <cell r="H1368">
            <v>50000000</v>
          </cell>
        </row>
        <row r="1555">
          <cell r="H1555">
            <v>20000000</v>
          </cell>
        </row>
        <row r="1680">
          <cell r="H1680">
            <v>129471348</v>
          </cell>
        </row>
        <row r="1790">
          <cell r="H1790">
            <v>15000000</v>
          </cell>
        </row>
        <row r="2273">
          <cell r="H2273">
            <v>35000000</v>
          </cell>
        </row>
        <row r="2283">
          <cell r="H2283">
            <v>14594526</v>
          </cell>
        </row>
        <row r="2314">
          <cell r="H2314">
            <v>74180874</v>
          </cell>
        </row>
        <row r="2332">
          <cell r="H2332">
            <v>12095456</v>
          </cell>
        </row>
        <row r="2368">
          <cell r="AD2368">
            <v>7271760</v>
          </cell>
        </row>
        <row r="2405">
          <cell r="H2405">
            <v>15000000</v>
          </cell>
        </row>
        <row r="2456">
          <cell r="H2456">
            <v>34542493</v>
          </cell>
        </row>
        <row r="2458">
          <cell r="W2458">
            <v>34542493</v>
          </cell>
        </row>
        <row r="2472">
          <cell r="AD2472">
            <v>17000000</v>
          </cell>
        </row>
        <row r="2528">
          <cell r="AD2528">
            <v>56296107</v>
          </cell>
        </row>
        <row r="2624">
          <cell r="H2624">
            <v>11870754</v>
          </cell>
        </row>
        <row r="2626">
          <cell r="O2626">
            <v>9801842</v>
          </cell>
        </row>
        <row r="2627">
          <cell r="H2627">
            <v>819958</v>
          </cell>
        </row>
        <row r="2628">
          <cell r="H2628">
            <v>678356</v>
          </cell>
        </row>
        <row r="2629">
          <cell r="H2629">
            <v>570598</v>
          </cell>
        </row>
        <row r="2795">
          <cell r="H2795">
            <v>61291800</v>
          </cell>
        </row>
        <row r="2797">
          <cell r="O2797">
            <v>70691800</v>
          </cell>
        </row>
        <row r="2839">
          <cell r="H2839">
            <v>80640865</v>
          </cell>
        </row>
        <row r="2914">
          <cell r="G2914">
            <v>2000000</v>
          </cell>
        </row>
        <row r="2955">
          <cell r="H2955">
            <v>10000000</v>
          </cell>
        </row>
        <row r="2966">
          <cell r="H2966">
            <v>196216648</v>
          </cell>
        </row>
        <row r="3080">
          <cell r="H3080">
            <v>20000000</v>
          </cell>
        </row>
        <row r="3327">
          <cell r="AD3327">
            <v>10399501</v>
          </cell>
        </row>
        <row r="3491">
          <cell r="AD3491">
            <v>446993833</v>
          </cell>
        </row>
        <row r="3661">
          <cell r="H3661">
            <v>13269163</v>
          </cell>
        </row>
        <row r="3692">
          <cell r="H3692">
            <v>21818596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2015"/>
    </sheetNames>
    <sheetDataSet>
      <sheetData sheetId="0">
        <row r="24">
          <cell r="M24">
            <v>776061585</v>
          </cell>
        </row>
        <row r="28">
          <cell r="M28">
            <v>326999042</v>
          </cell>
        </row>
        <row r="29">
          <cell r="H29">
            <v>323400656</v>
          </cell>
        </row>
        <row r="31">
          <cell r="H31">
            <v>3598386</v>
          </cell>
        </row>
        <row r="65">
          <cell r="M65">
            <v>878600000</v>
          </cell>
          <cell r="U65">
            <v>17986821</v>
          </cell>
        </row>
        <row r="73">
          <cell r="M73">
            <v>232606389</v>
          </cell>
        </row>
        <row r="79">
          <cell r="M79">
            <v>194628121</v>
          </cell>
          <cell r="U79">
            <v>97284204</v>
          </cell>
        </row>
        <row r="167">
          <cell r="H167">
            <v>55483385</v>
          </cell>
        </row>
        <row r="259">
          <cell r="X259">
            <v>33071786</v>
          </cell>
        </row>
        <row r="264">
          <cell r="H264">
            <v>26680000</v>
          </cell>
        </row>
        <row r="269">
          <cell r="H269">
            <v>299999200</v>
          </cell>
        </row>
        <row r="271">
          <cell r="M271">
            <v>299999200</v>
          </cell>
        </row>
        <row r="282">
          <cell r="U282">
            <v>10200000</v>
          </cell>
        </row>
        <row r="310">
          <cell r="H310">
            <v>26401136</v>
          </cell>
        </row>
        <row r="315">
          <cell r="H315">
            <v>40753510</v>
          </cell>
        </row>
        <row r="317">
          <cell r="AD317">
            <v>68483213</v>
          </cell>
        </row>
        <row r="359">
          <cell r="H359">
            <v>683305</v>
          </cell>
        </row>
        <row r="361">
          <cell r="H361">
            <v>7989000</v>
          </cell>
        </row>
        <row r="363">
          <cell r="H363">
            <v>10475000</v>
          </cell>
        </row>
        <row r="367">
          <cell r="H367">
            <v>40722000</v>
          </cell>
        </row>
        <row r="369">
          <cell r="H369">
            <v>104322000</v>
          </cell>
        </row>
        <row r="372">
          <cell r="H372">
            <v>9138680</v>
          </cell>
        </row>
        <row r="375">
          <cell r="H375">
            <v>3284000</v>
          </cell>
        </row>
        <row r="376">
          <cell r="H376">
            <v>43395348</v>
          </cell>
        </row>
        <row r="391">
          <cell r="M391">
            <v>77280360</v>
          </cell>
          <cell r="O391">
            <v>208875197</v>
          </cell>
        </row>
        <row r="429">
          <cell r="H429">
            <v>16564284</v>
          </cell>
        </row>
        <row r="488">
          <cell r="H488">
            <v>374231666</v>
          </cell>
        </row>
        <row r="492">
          <cell r="O492">
            <v>309006302</v>
          </cell>
          <cell r="AD492">
            <v>89908716</v>
          </cell>
        </row>
        <row r="493">
          <cell r="H493">
            <v>22626331</v>
          </cell>
        </row>
        <row r="519">
          <cell r="H519">
            <v>12318625</v>
          </cell>
        </row>
        <row r="527">
          <cell r="H527">
            <v>11664402</v>
          </cell>
        </row>
        <row r="552">
          <cell r="H552">
            <v>8988056</v>
          </cell>
        </row>
        <row r="635">
          <cell r="H635">
            <v>1180770</v>
          </cell>
        </row>
        <row r="699">
          <cell r="H699">
            <v>830522</v>
          </cell>
        </row>
        <row r="750">
          <cell r="H750">
            <v>1783000</v>
          </cell>
        </row>
        <row r="756">
          <cell r="H756">
            <v>2482000</v>
          </cell>
        </row>
        <row r="769">
          <cell r="H769">
            <v>2998000</v>
          </cell>
        </row>
        <row r="816">
          <cell r="H816">
            <v>1003000</v>
          </cell>
        </row>
        <row r="856">
          <cell r="H856">
            <v>850658</v>
          </cell>
        </row>
        <row r="882">
          <cell r="H882">
            <v>197406342</v>
          </cell>
        </row>
        <row r="884">
          <cell r="P884">
            <v>170240675</v>
          </cell>
        </row>
        <row r="885">
          <cell r="H885">
            <v>858690</v>
          </cell>
        </row>
        <row r="886">
          <cell r="H886">
            <v>2000000</v>
          </cell>
        </row>
        <row r="887">
          <cell r="H887">
            <v>1500000</v>
          </cell>
        </row>
        <row r="888">
          <cell r="H888">
            <v>16318500</v>
          </cell>
        </row>
        <row r="890">
          <cell r="H890">
            <v>1448735</v>
          </cell>
        </row>
        <row r="892">
          <cell r="H892">
            <v>7051825</v>
          </cell>
        </row>
        <row r="914">
          <cell r="H914">
            <v>88647184</v>
          </cell>
        </row>
        <row r="916">
          <cell r="P916">
            <v>93930000</v>
          </cell>
        </row>
        <row r="950">
          <cell r="H950">
            <v>194853743</v>
          </cell>
        </row>
        <row r="1104">
          <cell r="H1104">
            <v>59858617</v>
          </cell>
        </row>
        <row r="1188">
          <cell r="W1188">
            <v>11406867</v>
          </cell>
          <cell r="Z1188">
            <v>73593133</v>
          </cell>
        </row>
        <row r="1191">
          <cell r="H1191">
            <v>29609296</v>
          </cell>
        </row>
        <row r="1197">
          <cell r="H1197">
            <v>70768544</v>
          </cell>
        </row>
        <row r="1239">
          <cell r="Y1239">
            <v>30000000</v>
          </cell>
        </row>
        <row r="1246">
          <cell r="H1246">
            <v>296730427</v>
          </cell>
        </row>
        <row r="1315">
          <cell r="H1315">
            <v>1000000</v>
          </cell>
        </row>
        <row r="1316">
          <cell r="H1316">
            <v>20240000</v>
          </cell>
        </row>
        <row r="1318">
          <cell r="H1318">
            <v>17084000</v>
          </cell>
        </row>
        <row r="1320">
          <cell r="H1320">
            <v>229546934</v>
          </cell>
        </row>
        <row r="1347">
          <cell r="H1347">
            <v>1000000</v>
          </cell>
        </row>
        <row r="1349">
          <cell r="H1349">
            <v>772800</v>
          </cell>
        </row>
        <row r="1350">
          <cell r="H1350">
            <v>2735000</v>
          </cell>
        </row>
        <row r="1355">
          <cell r="H1355">
            <v>3000000</v>
          </cell>
        </row>
        <row r="1357">
          <cell r="H1357">
            <v>1200000</v>
          </cell>
        </row>
        <row r="1372">
          <cell r="Y1372">
            <v>60750110</v>
          </cell>
        </row>
        <row r="1378">
          <cell r="H1378">
            <v>8936592</v>
          </cell>
        </row>
        <row r="1380">
          <cell r="H1380">
            <v>108815808</v>
          </cell>
        </row>
        <row r="1385">
          <cell r="H1385">
            <v>7946612</v>
          </cell>
        </row>
        <row r="1387">
          <cell r="H1387">
            <v>33448902</v>
          </cell>
        </row>
        <row r="1389">
          <cell r="H1389">
            <v>29186886</v>
          </cell>
        </row>
        <row r="1390">
          <cell r="H1390">
            <v>18551098</v>
          </cell>
        </row>
        <row r="1392">
          <cell r="H1392">
            <v>5308830</v>
          </cell>
        </row>
        <row r="1394">
          <cell r="H1394">
            <v>9000000</v>
          </cell>
        </row>
        <row r="1396">
          <cell r="H1396">
            <v>1157000</v>
          </cell>
        </row>
        <row r="1398">
          <cell r="H1398">
            <v>18000000</v>
          </cell>
        </row>
        <row r="1400">
          <cell r="H1400">
            <v>100000</v>
          </cell>
        </row>
        <row r="1402">
          <cell r="H1402">
            <v>10878966</v>
          </cell>
        </row>
        <row r="1404">
          <cell r="Z1404">
            <v>10878966</v>
          </cell>
        </row>
        <row r="1421">
          <cell r="X1421">
            <v>123715200</v>
          </cell>
          <cell r="Z1421">
            <v>2577400</v>
          </cell>
        </row>
        <row r="1468">
          <cell r="H1468">
            <v>45969645</v>
          </cell>
        </row>
        <row r="1497">
          <cell r="O1497">
            <v>31103560</v>
          </cell>
        </row>
        <row r="1559">
          <cell r="H1559">
            <v>13191895</v>
          </cell>
        </row>
        <row r="1562">
          <cell r="H1562">
            <v>37391100</v>
          </cell>
        </row>
        <row r="1580">
          <cell r="X1580">
            <v>80000000</v>
          </cell>
        </row>
        <row r="1586">
          <cell r="H1586">
            <v>31389508</v>
          </cell>
        </row>
        <row r="1596">
          <cell r="H1596">
            <v>19553644</v>
          </cell>
        </row>
        <row r="1602">
          <cell r="H1602">
            <v>32548551</v>
          </cell>
        </row>
        <row r="1618">
          <cell r="H1618">
            <v>15953029</v>
          </cell>
        </row>
        <row r="1639">
          <cell r="H1639">
            <v>46027628</v>
          </cell>
        </row>
        <row r="1641">
          <cell r="O1641">
            <v>56000000</v>
          </cell>
        </row>
        <row r="1662">
          <cell r="H1662">
            <v>69890000</v>
          </cell>
        </row>
        <row r="1664">
          <cell r="O1664">
            <v>69890000</v>
          </cell>
        </row>
        <row r="1729">
          <cell r="H1729">
            <v>20000000</v>
          </cell>
        </row>
        <row r="1742">
          <cell r="H1742">
            <v>12461326</v>
          </cell>
        </row>
        <row r="1784">
          <cell r="H1784">
            <v>15949035</v>
          </cell>
        </row>
        <row r="1804">
          <cell r="H1804">
            <v>6992750</v>
          </cell>
        </row>
        <row r="1822">
          <cell r="L1822">
            <v>71370877</v>
          </cell>
        </row>
        <row r="1823">
          <cell r="H1823">
            <v>71370877</v>
          </cell>
        </row>
        <row r="1833">
          <cell r="H1833">
            <v>44239789</v>
          </cell>
        </row>
        <row r="1848">
          <cell r="H1848">
            <v>82718083</v>
          </cell>
        </row>
        <row r="1951">
          <cell r="H1951">
            <v>87185148</v>
          </cell>
        </row>
        <row r="1989">
          <cell r="H1989">
            <v>28011389</v>
          </cell>
        </row>
        <row r="2005">
          <cell r="H2005">
            <v>10000000</v>
          </cell>
        </row>
        <row r="2010">
          <cell r="H2010">
            <v>50000000</v>
          </cell>
        </row>
        <row r="2052">
          <cell r="L2052">
            <v>13555657</v>
          </cell>
        </row>
        <row r="2053">
          <cell r="L2053">
            <v>13555657</v>
          </cell>
        </row>
        <row r="2058">
          <cell r="H2058">
            <v>19373471</v>
          </cell>
        </row>
        <row r="2060">
          <cell r="AD2060">
            <v>17978971</v>
          </cell>
        </row>
        <row r="2087">
          <cell r="H2087">
            <v>502114960</v>
          </cell>
        </row>
        <row r="2150">
          <cell r="H2150">
            <v>4326213</v>
          </cell>
        </row>
        <row r="2165">
          <cell r="K2165">
            <v>41482739</v>
          </cell>
          <cell r="O2165">
            <v>14002131</v>
          </cell>
        </row>
        <row r="2169">
          <cell r="H2169">
            <v>9868400</v>
          </cell>
        </row>
        <row r="2173">
          <cell r="H2173">
            <v>1152000</v>
          </cell>
        </row>
        <row r="2176">
          <cell r="H2176">
            <v>3872100</v>
          </cell>
        </row>
        <row r="2181">
          <cell r="H2181">
            <v>6091600</v>
          </cell>
        </row>
        <row r="2186">
          <cell r="H2186">
            <v>862000</v>
          </cell>
        </row>
        <row r="2189">
          <cell r="H2189">
            <v>862000</v>
          </cell>
        </row>
        <row r="2192">
          <cell r="H2192">
            <v>8426494</v>
          </cell>
        </row>
        <row r="2200">
          <cell r="H2200">
            <v>10348145</v>
          </cell>
        </row>
        <row r="2207">
          <cell r="H2207">
            <v>12067389</v>
          </cell>
        </row>
        <row r="2213">
          <cell r="H2213">
            <v>1035821377</v>
          </cell>
        </row>
        <row r="2215">
          <cell r="V2215">
            <v>1802551899</v>
          </cell>
        </row>
        <row r="2659">
          <cell r="O2659">
            <v>14594526</v>
          </cell>
        </row>
        <row r="2669">
          <cell r="H2669">
            <v>93263290</v>
          </cell>
        </row>
        <row r="2673">
          <cell r="H2673">
            <v>35747850</v>
          </cell>
        </row>
        <row r="2690">
          <cell r="O2690">
            <v>87426333</v>
          </cell>
        </row>
        <row r="2724">
          <cell r="Y2724">
            <v>75000000</v>
          </cell>
        </row>
        <row r="2725">
          <cell r="H2725">
            <v>31441999</v>
          </cell>
        </row>
        <row r="2734">
          <cell r="H2734">
            <v>6281000</v>
          </cell>
        </row>
        <row r="2750">
          <cell r="H2750">
            <v>7799959</v>
          </cell>
        </row>
        <row r="2760">
          <cell r="H2760">
            <v>15000000</v>
          </cell>
        </row>
        <row r="2790">
          <cell r="W2790">
            <v>21280016</v>
          </cell>
        </row>
        <row r="2791">
          <cell r="H2791">
            <v>10578029</v>
          </cell>
        </row>
        <row r="2800">
          <cell r="H2800">
            <v>10000000</v>
          </cell>
        </row>
        <row r="2806">
          <cell r="H2806">
            <v>15389000</v>
          </cell>
        </row>
        <row r="2816">
          <cell r="G2816">
            <v>1081065872</v>
          </cell>
        </row>
        <row r="2832">
          <cell r="W2832">
            <v>5000000</v>
          </cell>
        </row>
        <row r="2836">
          <cell r="H2836">
            <v>10507037</v>
          </cell>
        </row>
        <row r="2838">
          <cell r="W2838">
            <v>19280237</v>
          </cell>
        </row>
        <row r="2870">
          <cell r="H2870">
            <v>11958400</v>
          </cell>
        </row>
        <row r="2884">
          <cell r="H2884">
            <v>5190868</v>
          </cell>
        </row>
        <row r="2886">
          <cell r="O2886">
            <v>5197534</v>
          </cell>
        </row>
        <row r="2903">
          <cell r="H2903">
            <v>8601149</v>
          </cell>
        </row>
        <row r="2905">
          <cell r="O2905">
            <v>11626749</v>
          </cell>
        </row>
        <row r="2941">
          <cell r="H2941">
            <v>9998746</v>
          </cell>
        </row>
        <row r="2952">
          <cell r="H2952">
            <v>14000000</v>
          </cell>
        </row>
        <row r="2955">
          <cell r="H2955">
            <v>12136415</v>
          </cell>
        </row>
        <row r="2971">
          <cell r="H2971">
            <v>12411565</v>
          </cell>
        </row>
        <row r="2979">
          <cell r="H2979">
            <v>2000000</v>
          </cell>
        </row>
        <row r="2982">
          <cell r="H2982">
            <v>1493752</v>
          </cell>
        </row>
        <row r="2983">
          <cell r="H2983">
            <v>2566816</v>
          </cell>
        </row>
        <row r="2985">
          <cell r="H2985">
            <v>3235539</v>
          </cell>
        </row>
        <row r="2991">
          <cell r="X2991">
            <v>27763037</v>
          </cell>
        </row>
        <row r="2992">
          <cell r="H2992">
            <v>169849210</v>
          </cell>
        </row>
        <row r="3030">
          <cell r="H3030">
            <v>473037</v>
          </cell>
        </row>
        <row r="3036">
          <cell r="H3036">
            <v>90400770</v>
          </cell>
        </row>
        <row r="3038">
          <cell r="O3038">
            <v>95474791</v>
          </cell>
        </row>
        <row r="3096">
          <cell r="W3096">
            <v>1956100</v>
          </cell>
        </row>
        <row r="3100">
          <cell r="H3100">
            <v>28219872</v>
          </cell>
        </row>
        <row r="3102">
          <cell r="W3102">
            <v>38109542</v>
          </cell>
        </row>
        <row r="3137">
          <cell r="H3137">
            <v>5310036</v>
          </cell>
        </row>
        <row r="3139">
          <cell r="W3139">
            <v>7257908</v>
          </cell>
        </row>
        <row r="3189">
          <cell r="H3189">
            <v>6147669</v>
          </cell>
        </row>
        <row r="3191">
          <cell r="Y3191">
            <v>9027669</v>
          </cell>
        </row>
        <row r="3271">
          <cell r="H3271">
            <v>77930000</v>
          </cell>
        </row>
        <row r="3273">
          <cell r="O3273">
            <v>111000000</v>
          </cell>
        </row>
        <row r="3360">
          <cell r="H3360">
            <v>2000000</v>
          </cell>
        </row>
        <row r="3369">
          <cell r="H3369">
            <v>25414205</v>
          </cell>
        </row>
        <row r="3397">
          <cell r="H3397">
            <v>5854838</v>
          </cell>
        </row>
        <row r="3408">
          <cell r="X3408">
            <v>16597464</v>
          </cell>
        </row>
        <row r="3409">
          <cell r="H3409">
            <v>1085332</v>
          </cell>
        </row>
        <row r="3486">
          <cell r="H3486">
            <v>870000</v>
          </cell>
        </row>
        <row r="3489">
          <cell r="H3489">
            <v>2998000</v>
          </cell>
        </row>
        <row r="3490">
          <cell r="H3490">
            <v>1962700</v>
          </cell>
        </row>
        <row r="3491">
          <cell r="H3491">
            <v>1500000</v>
          </cell>
        </row>
        <row r="3492">
          <cell r="H3492">
            <v>400000</v>
          </cell>
        </row>
        <row r="3493">
          <cell r="H3493">
            <v>680000</v>
          </cell>
        </row>
        <row r="3494">
          <cell r="H3494">
            <v>1021914</v>
          </cell>
        </row>
        <row r="3495">
          <cell r="H3495">
            <v>2000000</v>
          </cell>
        </row>
        <row r="3496">
          <cell r="H3496">
            <v>4535000</v>
          </cell>
        </row>
        <row r="3497">
          <cell r="H3497">
            <v>1499850</v>
          </cell>
        </row>
        <row r="3499">
          <cell r="H3499">
            <v>36778434</v>
          </cell>
        </row>
        <row r="3501">
          <cell r="AD3501">
            <v>36871663</v>
          </cell>
        </row>
        <row r="3517">
          <cell r="H3517">
            <v>2592254</v>
          </cell>
        </row>
        <row r="3530">
          <cell r="H3530">
            <v>1809494</v>
          </cell>
        </row>
        <row r="3532">
          <cell r="P3532">
            <v>20000000</v>
          </cell>
        </row>
        <row r="3546">
          <cell r="H3546">
            <v>8800000</v>
          </cell>
        </row>
        <row r="3574">
          <cell r="H3574">
            <v>273724134</v>
          </cell>
        </row>
        <row r="3679">
          <cell r="H3679">
            <v>268064229</v>
          </cell>
        </row>
        <row r="3812">
          <cell r="H3812">
            <v>5875427</v>
          </cell>
        </row>
        <row r="3835">
          <cell r="H3835">
            <v>47812859</v>
          </cell>
        </row>
        <row r="3837">
          <cell r="P3837">
            <v>70000000</v>
          </cell>
        </row>
        <row r="3900">
          <cell r="H3900">
            <v>95938962</v>
          </cell>
        </row>
        <row r="3902">
          <cell r="P3902">
            <v>110000000</v>
          </cell>
        </row>
        <row r="3985">
          <cell r="H3985">
            <v>425865362</v>
          </cell>
        </row>
        <row r="4070">
          <cell r="H4070">
            <v>5904582</v>
          </cell>
        </row>
        <row r="4072">
          <cell r="AD4072">
            <v>9213914</v>
          </cell>
        </row>
        <row r="4085">
          <cell r="H4085">
            <v>151633574</v>
          </cell>
        </row>
        <row r="4087">
          <cell r="V4087">
            <v>244660776</v>
          </cell>
        </row>
        <row r="4180">
          <cell r="O4180">
            <v>7792400</v>
          </cell>
        </row>
        <row r="4191">
          <cell r="H4191">
            <v>2200000</v>
          </cell>
        </row>
        <row r="4227">
          <cell r="N4227">
            <v>72884540</v>
          </cell>
        </row>
        <row r="4228">
          <cell r="H4228">
            <v>52139771</v>
          </cell>
        </row>
        <row r="4234">
          <cell r="H4234">
            <v>33267976</v>
          </cell>
        </row>
        <row r="4271">
          <cell r="H4271">
            <v>25523209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295">
          <cell r="W295">
            <v>69014856</v>
          </cell>
        </row>
        <row r="301">
          <cell r="W301">
            <v>55000000</v>
          </cell>
        </row>
        <row r="305">
          <cell r="G305">
            <v>60000000</v>
          </cell>
        </row>
        <row r="374">
          <cell r="T374">
            <v>50000000</v>
          </cell>
        </row>
        <row r="922">
          <cell r="L922">
            <v>20000000</v>
          </cell>
        </row>
      </sheetData>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228">
          <cell r="H228">
            <v>3525240</v>
          </cell>
        </row>
        <row r="334">
          <cell r="X334">
            <v>273344421</v>
          </cell>
        </row>
        <row r="585">
          <cell r="P585">
            <v>102810569</v>
          </cell>
          <cell r="Q585">
            <v>219471348</v>
          </cell>
        </row>
        <row r="740">
          <cell r="W740">
            <v>15000000</v>
          </cell>
        </row>
        <row r="753">
          <cell r="W753">
            <v>15000000</v>
          </cell>
        </row>
        <row r="759">
          <cell r="W759">
            <v>15000000</v>
          </cell>
        </row>
        <row r="852">
          <cell r="X852">
            <v>50000000</v>
          </cell>
        </row>
        <row r="864">
          <cell r="X864">
            <v>170000000</v>
          </cell>
        </row>
        <row r="1086">
          <cell r="W1086">
            <v>10000000</v>
          </cell>
        </row>
        <row r="1134">
          <cell r="W1134">
            <v>10000000</v>
          </cell>
        </row>
        <row r="1154">
          <cell r="O1154">
            <v>300000000</v>
          </cell>
        </row>
        <row r="1245">
          <cell r="W1245">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196">
          <cell r="G196">
            <v>37000000</v>
          </cell>
        </row>
        <row r="495">
          <cell r="N495">
            <v>20000000</v>
          </cell>
        </row>
        <row r="501">
          <cell r="N501">
            <v>10000000</v>
          </cell>
        </row>
        <row r="571">
          <cell r="AC571">
            <v>2000000</v>
          </cell>
        </row>
        <row r="658">
          <cell r="N658">
            <v>35000000</v>
          </cell>
        </row>
        <row r="685">
          <cell r="AC685">
            <v>5000000</v>
          </cell>
        </row>
        <row r="695">
          <cell r="X695">
            <v>5000000</v>
          </cell>
        </row>
        <row r="1017">
          <cell r="N1017">
            <v>50000000</v>
          </cell>
        </row>
        <row r="1024">
          <cell r="N1024">
            <v>50000000</v>
          </cell>
        </row>
        <row r="1029">
          <cell r="N1029">
            <v>200000000</v>
          </cell>
        </row>
        <row r="1070">
          <cell r="N1070">
            <v>30000000</v>
          </cell>
        </row>
        <row r="1086">
          <cell r="H1086">
            <v>770398</v>
          </cell>
        </row>
        <row r="1088">
          <cell r="AC1088">
            <v>5000000</v>
          </cell>
        </row>
        <row r="1172">
          <cell r="N1172">
            <v>30000000</v>
          </cell>
        </row>
        <row r="1187">
          <cell r="N1187">
            <v>30000000</v>
          </cell>
        </row>
        <row r="1216">
          <cell r="N1216">
            <v>50000000</v>
          </cell>
        </row>
        <row r="1221">
          <cell r="N1221">
            <v>44180877</v>
          </cell>
        </row>
        <row r="1228">
          <cell r="N1228">
            <v>10000000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37" t="s">
        <v>2732</v>
      </c>
      <c r="B1" s="1137"/>
      <c r="C1" s="1137"/>
    </row>
    <row r="2" spans="1:3" ht="51" customHeight="1" x14ac:dyDescent="0.2">
      <c r="A2" s="1138" t="s">
        <v>447</v>
      </c>
      <c r="B2" s="1140" t="s">
        <v>2733</v>
      </c>
      <c r="C2" s="1142" t="s">
        <v>2808</v>
      </c>
    </row>
    <row r="3" spans="1:3" ht="22.5" customHeight="1" thickBot="1" x14ac:dyDescent="0.25">
      <c r="A3" s="1139"/>
      <c r="B3" s="1141"/>
      <c r="C3" s="1143"/>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75" t="s">
        <v>3471</v>
      </c>
      <c r="B1" s="1377" t="s">
        <v>3472</v>
      </c>
      <c r="C1" s="1169" t="s">
        <v>3473</v>
      </c>
      <c r="D1" s="1379" t="s">
        <v>3283</v>
      </c>
      <c r="E1" s="1381" t="s">
        <v>3347</v>
      </c>
      <c r="F1" s="1169" t="s">
        <v>3474</v>
      </c>
      <c r="G1" s="1169" t="s">
        <v>3475</v>
      </c>
      <c r="H1" s="1169" t="s">
        <v>3476</v>
      </c>
      <c r="I1" s="1169" t="s">
        <v>3139</v>
      </c>
      <c r="J1" s="1169" t="s">
        <v>3477</v>
      </c>
      <c r="K1" s="1169" t="s">
        <v>3478</v>
      </c>
      <c r="L1" s="1169" t="s">
        <v>3479</v>
      </c>
      <c r="M1" s="1356" t="s">
        <v>3480</v>
      </c>
      <c r="N1" s="1356"/>
      <c r="O1" s="1356"/>
      <c r="P1" s="1356"/>
      <c r="Q1" s="1356" t="s">
        <v>3481</v>
      </c>
      <c r="R1" s="1356"/>
      <c r="S1" s="1356"/>
      <c r="T1" s="1356"/>
      <c r="U1" s="1357"/>
      <c r="V1" s="1327" t="s">
        <v>3637</v>
      </c>
      <c r="W1" s="1354" t="s">
        <v>4125</v>
      </c>
      <c r="X1" s="1431" t="s">
        <v>4159</v>
      </c>
      <c r="Y1" s="1354" t="s">
        <v>4096</v>
      </c>
      <c r="Z1" s="1433" t="s">
        <v>4123</v>
      </c>
      <c r="AA1" s="1354" t="s">
        <v>4096</v>
      </c>
      <c r="AB1" s="1435" t="s">
        <v>4124</v>
      </c>
      <c r="AC1" s="1354" t="s">
        <v>4096</v>
      </c>
      <c r="AD1" s="1354" t="s">
        <v>447</v>
      </c>
      <c r="AE1" s="1348"/>
      <c r="AF1" s="1337" t="s">
        <v>3425</v>
      </c>
      <c r="AG1" s="1337"/>
      <c r="AH1" s="1337"/>
      <c r="AI1" s="1337"/>
      <c r="AJ1" s="1337"/>
      <c r="AK1" s="1337"/>
      <c r="AL1" s="1337"/>
      <c r="AM1" s="1337"/>
      <c r="AN1" s="1337"/>
      <c r="AO1" s="1337"/>
      <c r="AP1" s="1337"/>
      <c r="AQ1" s="1337"/>
      <c r="AS1" s="1327" t="s">
        <v>4021</v>
      </c>
      <c r="AT1" s="1327" t="s">
        <v>4023</v>
      </c>
      <c r="AU1" s="1327"/>
      <c r="AV1" s="1327" t="s">
        <v>4025</v>
      </c>
      <c r="AW1" s="1327" t="s">
        <v>4026</v>
      </c>
      <c r="AX1" s="1327" t="s">
        <v>4027</v>
      </c>
      <c r="AY1" s="1327" t="s">
        <v>4028</v>
      </c>
      <c r="AZ1" s="1327" t="s">
        <v>4029</v>
      </c>
      <c r="BA1" s="1327" t="s">
        <v>4022</v>
      </c>
      <c r="BB1" s="1327"/>
      <c r="BD1" s="1327" t="s">
        <v>4044</v>
      </c>
      <c r="BE1" s="1337" t="s">
        <v>3425</v>
      </c>
      <c r="BF1" s="1337"/>
      <c r="BG1" s="1337"/>
      <c r="BH1" s="1337"/>
      <c r="BI1" s="1337"/>
      <c r="BJ1" s="1337"/>
      <c r="BK1" s="1337"/>
      <c r="BL1" s="1337"/>
      <c r="BM1" s="1337"/>
      <c r="BN1" s="1337"/>
      <c r="BO1" s="1337"/>
      <c r="BP1" s="1337"/>
      <c r="BQ1" s="1337"/>
    </row>
    <row r="2" spans="1:69" ht="64.150000000000006" customHeight="1" x14ac:dyDescent="0.2">
      <c r="A2" s="1376"/>
      <c r="B2" s="1378"/>
      <c r="C2" s="1170"/>
      <c r="D2" s="1380"/>
      <c r="E2" s="1382"/>
      <c r="F2" s="1170"/>
      <c r="G2" s="1171"/>
      <c r="H2" s="1170"/>
      <c r="I2" s="1170"/>
      <c r="J2" s="1170"/>
      <c r="K2" s="1171"/>
      <c r="L2" s="1171"/>
      <c r="M2" s="760">
        <v>2009</v>
      </c>
      <c r="N2" s="760">
        <v>2010</v>
      </c>
      <c r="O2" s="760">
        <v>2011</v>
      </c>
      <c r="P2" s="760">
        <v>2012</v>
      </c>
      <c r="Q2" s="760">
        <v>2009</v>
      </c>
      <c r="R2" s="760">
        <v>2010</v>
      </c>
      <c r="S2" s="760">
        <v>2011</v>
      </c>
      <c r="T2" s="760">
        <v>2012</v>
      </c>
      <c r="U2" s="436" t="s">
        <v>695</v>
      </c>
      <c r="V2" s="1327"/>
      <c r="W2" s="1354"/>
      <c r="X2" s="1432"/>
      <c r="Y2" s="1354"/>
      <c r="Z2" s="1434"/>
      <c r="AA2" s="1354"/>
      <c r="AB2" s="1436"/>
      <c r="AC2" s="1354"/>
      <c r="AD2" s="1354"/>
      <c r="AE2" s="1348"/>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27"/>
      <c r="AT2" s="584" t="s">
        <v>4032</v>
      </c>
      <c r="AU2" s="579" t="s">
        <v>4024</v>
      </c>
      <c r="AV2" s="1327"/>
      <c r="AW2" s="1327"/>
      <c r="AX2" s="1327"/>
      <c r="AY2" s="1327"/>
      <c r="AZ2" s="1327"/>
      <c r="BA2" s="755" t="s">
        <v>3422</v>
      </c>
      <c r="BB2" s="443" t="s">
        <v>433</v>
      </c>
      <c r="BD2" s="1327"/>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74">
        <v>1</v>
      </c>
      <c r="B3" s="1336" t="s">
        <v>3080</v>
      </c>
      <c r="C3" s="1177" t="s">
        <v>3482</v>
      </c>
      <c r="D3" s="1336" t="s">
        <v>3704</v>
      </c>
      <c r="E3" s="1333" t="s">
        <v>3483</v>
      </c>
      <c r="F3" s="1180" t="s">
        <v>3484</v>
      </c>
      <c r="G3" s="1180" t="s">
        <v>3485</v>
      </c>
      <c r="H3" s="1180"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75"/>
      <c r="B4" s="1331"/>
      <c r="C4" s="1178"/>
      <c r="D4" s="1331"/>
      <c r="E4" s="1334"/>
      <c r="F4" s="1180"/>
      <c r="G4" s="1180"/>
      <c r="H4" s="1180"/>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75"/>
      <c r="B5" s="1331"/>
      <c r="C5" s="1178"/>
      <c r="D5" s="1331"/>
      <c r="E5" s="1334"/>
      <c r="F5" s="1180"/>
      <c r="G5" s="1180"/>
      <c r="H5" s="1180"/>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75"/>
      <c r="B6" s="1331"/>
      <c r="C6" s="1178"/>
      <c r="D6" s="1331"/>
      <c r="E6" s="1334"/>
      <c r="F6" s="1180"/>
      <c r="G6" s="1180"/>
      <c r="H6" s="1180"/>
      <c r="I6" s="754"/>
      <c r="J6" s="468"/>
      <c r="K6" s="469"/>
      <c r="L6" s="470"/>
      <c r="M6" s="1358" t="s">
        <v>695</v>
      </c>
      <c r="N6" s="1359"/>
      <c r="O6" s="1359"/>
      <c r="P6" s="1360"/>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75">
        <v>2</v>
      </c>
      <c r="B8" s="1331" t="s">
        <v>648</v>
      </c>
      <c r="C8" s="1175" t="s">
        <v>3656</v>
      </c>
      <c r="D8" s="1336" t="s">
        <v>3736</v>
      </c>
      <c r="E8" s="1334" t="s">
        <v>3483</v>
      </c>
      <c r="F8" s="1175" t="s">
        <v>3737</v>
      </c>
      <c r="G8" s="1175" t="s">
        <v>3738</v>
      </c>
      <c r="H8" s="1175"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75"/>
      <c r="B9" s="1331"/>
      <c r="C9" s="1175"/>
      <c r="D9" s="1331"/>
      <c r="E9" s="1334"/>
      <c r="F9" s="1175"/>
      <c r="G9" s="1175"/>
      <c r="H9" s="1175"/>
      <c r="I9" s="1174"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75"/>
      <c r="B10" s="1331"/>
      <c r="C10" s="1175"/>
      <c r="D10" s="1331"/>
      <c r="E10" s="1334"/>
      <c r="F10" s="1175"/>
      <c r="G10" s="1175"/>
      <c r="H10" s="1175"/>
      <c r="I10" s="1175"/>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75"/>
      <c r="B11" s="1331"/>
      <c r="C11" s="1175"/>
      <c r="D11" s="1331"/>
      <c r="E11" s="1334"/>
      <c r="F11" s="1175"/>
      <c r="G11" s="1175"/>
      <c r="H11" s="1175"/>
      <c r="I11" s="1175"/>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75"/>
      <c r="B12" s="1331"/>
      <c r="C12" s="1175"/>
      <c r="D12" s="1331"/>
      <c r="E12" s="1334"/>
      <c r="F12" s="1175"/>
      <c r="G12" s="1175"/>
      <c r="H12" s="1175"/>
      <c r="I12" s="1176"/>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76"/>
      <c r="B13" s="1332"/>
      <c r="C13" s="1176"/>
      <c r="D13" s="1332"/>
      <c r="E13" s="1335"/>
      <c r="F13" s="1176"/>
      <c r="G13" s="1176"/>
      <c r="H13" s="753"/>
      <c r="I13" s="753"/>
      <c r="J13" s="754"/>
      <c r="K13" s="754"/>
      <c r="L13" s="754"/>
      <c r="M13" s="1384"/>
      <c r="N13" s="1385"/>
      <c r="O13" s="1385"/>
      <c r="P13" s="1386"/>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80">
        <v>3</v>
      </c>
      <c r="B15" s="1329" t="s">
        <v>3162</v>
      </c>
      <c r="C15" s="1174" t="s">
        <v>3493</v>
      </c>
      <c r="D15" s="1329" t="s">
        <v>3494</v>
      </c>
      <c r="E15" s="1333" t="s">
        <v>3495</v>
      </c>
      <c r="F15" s="1180" t="s">
        <v>3484</v>
      </c>
      <c r="G15" s="1174" t="s">
        <v>3485</v>
      </c>
      <c r="H15" s="1180" t="s">
        <v>3486</v>
      </c>
      <c r="I15" s="1174"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80"/>
      <c r="B16" s="1329"/>
      <c r="C16" s="1175"/>
      <c r="D16" s="1329"/>
      <c r="E16" s="1334"/>
      <c r="F16" s="1180"/>
      <c r="G16" s="1175"/>
      <c r="H16" s="1180"/>
      <c r="I16" s="1176"/>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80"/>
      <c r="B17" s="1329"/>
      <c r="C17" s="1175"/>
      <c r="D17" s="1329"/>
      <c r="E17" s="1334"/>
      <c r="F17" s="1180"/>
      <c r="G17" s="1175"/>
      <c r="H17" s="1180"/>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80"/>
      <c r="B18" s="1329"/>
      <c r="C18" s="1176"/>
      <c r="D18" s="1329"/>
      <c r="E18" s="1335"/>
      <c r="F18" s="1180"/>
      <c r="G18" s="1176"/>
      <c r="H18" s="1180"/>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29">
        <v>3</v>
      </c>
      <c r="B19" s="1329" t="s">
        <v>3162</v>
      </c>
      <c r="C19" s="1180" t="s">
        <v>3493</v>
      </c>
      <c r="D19" s="1329" t="s">
        <v>3184</v>
      </c>
      <c r="E19" s="1345" t="s">
        <v>3495</v>
      </c>
      <c r="F19" s="1180" t="s">
        <v>3499</v>
      </c>
      <c r="G19" s="1180" t="s">
        <v>3500</v>
      </c>
      <c r="H19" s="1180"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29"/>
      <c r="B20" s="1329"/>
      <c r="C20" s="1180"/>
      <c r="D20" s="1329"/>
      <c r="E20" s="1345"/>
      <c r="F20" s="1180"/>
      <c r="G20" s="1180"/>
      <c r="H20" s="1180"/>
      <c r="I20" s="1180"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29"/>
      <c r="B21" s="1329"/>
      <c r="C21" s="1180"/>
      <c r="D21" s="1329"/>
      <c r="E21" s="1345"/>
      <c r="F21" s="1180"/>
      <c r="G21" s="1180"/>
      <c r="H21" s="1180"/>
      <c r="I21" s="1180"/>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29"/>
      <c r="B22" s="1329"/>
      <c r="C22" s="1180"/>
      <c r="D22" s="1329"/>
      <c r="E22" s="1345"/>
      <c r="F22" s="1180"/>
      <c r="G22" s="1180"/>
      <c r="H22" s="1180"/>
      <c r="I22" s="1180"/>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29"/>
      <c r="B23" s="1329"/>
      <c r="C23" s="1180"/>
      <c r="D23" s="1329"/>
      <c r="E23" s="1345"/>
      <c r="F23" s="1180"/>
      <c r="G23" s="1180"/>
      <c r="H23" s="1180"/>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29"/>
      <c r="B24" s="1329"/>
      <c r="C24" s="1180"/>
      <c r="D24" s="1329"/>
      <c r="E24" s="1345"/>
      <c r="F24" s="1180"/>
      <c r="G24" s="1180"/>
      <c r="H24" s="1180"/>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80">
        <v>3</v>
      </c>
      <c r="B25" s="1329" t="s">
        <v>3162</v>
      </c>
      <c r="C25" s="1180" t="s">
        <v>3493</v>
      </c>
      <c r="D25" s="1329" t="s">
        <v>3707</v>
      </c>
      <c r="E25" s="1345" t="s">
        <v>3503</v>
      </c>
      <c r="F25" s="1180" t="s">
        <v>3499</v>
      </c>
      <c r="G25" s="1180" t="s">
        <v>3500</v>
      </c>
      <c r="H25" s="1180"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80"/>
      <c r="B26" s="1330"/>
      <c r="C26" s="1180"/>
      <c r="D26" s="1329"/>
      <c r="E26" s="1345"/>
      <c r="F26" s="1180"/>
      <c r="G26" s="1180"/>
      <c r="H26" s="1180"/>
      <c r="I26" s="1174"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80"/>
      <c r="B27" s="1330"/>
      <c r="C27" s="1180"/>
      <c r="D27" s="1329"/>
      <c r="E27" s="1345"/>
      <c r="F27" s="1180"/>
      <c r="G27" s="1180"/>
      <c r="H27" s="1180"/>
      <c r="I27" s="1175"/>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80"/>
      <c r="B28" s="1330"/>
      <c r="C28" s="1180"/>
      <c r="D28" s="1329"/>
      <c r="E28" s="1345"/>
      <c r="F28" s="1180"/>
      <c r="G28" s="1180"/>
      <c r="H28" s="1180"/>
      <c r="I28" s="1176"/>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80"/>
      <c r="B29" s="1330"/>
      <c r="C29" s="1180"/>
      <c r="D29" s="1329"/>
      <c r="E29" s="1345"/>
      <c r="F29" s="1180"/>
      <c r="G29" s="1180"/>
      <c r="H29" s="1180"/>
      <c r="I29" s="1174"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80"/>
      <c r="B30" s="1330"/>
      <c r="C30" s="1180"/>
      <c r="D30" s="1329"/>
      <c r="E30" s="1345"/>
      <c r="F30" s="1180"/>
      <c r="G30" s="1180"/>
      <c r="H30" s="1180"/>
      <c r="I30" s="1176"/>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80"/>
      <c r="B31" s="1330"/>
      <c r="C31" s="1180"/>
      <c r="D31" s="1329"/>
      <c r="E31" s="1345"/>
      <c r="F31" s="1180"/>
      <c r="G31" s="1180"/>
      <c r="H31" s="1180"/>
      <c r="I31" s="1174"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80"/>
      <c r="B32" s="1330"/>
      <c r="C32" s="1180"/>
      <c r="D32" s="1329"/>
      <c r="E32" s="1345"/>
      <c r="F32" s="1180"/>
      <c r="G32" s="1180"/>
      <c r="H32" s="1180"/>
      <c r="I32" s="1176"/>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80"/>
      <c r="B33" s="1330"/>
      <c r="C33" s="1180"/>
      <c r="D33" s="1329"/>
      <c r="E33" s="1345"/>
      <c r="F33" s="1180"/>
      <c r="G33" s="1180"/>
      <c r="H33" s="1180"/>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80"/>
      <c r="B34" s="1330"/>
      <c r="C34" s="1180"/>
      <c r="D34" s="1329"/>
      <c r="E34" s="1345"/>
      <c r="F34" s="1180"/>
      <c r="G34" s="1180"/>
      <c r="H34" s="1180"/>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80"/>
      <c r="B35" s="1330"/>
      <c r="C35" s="1180"/>
      <c r="D35" s="1329"/>
      <c r="E35" s="1345"/>
      <c r="F35" s="1180"/>
      <c r="G35" s="1180"/>
      <c r="H35" s="1180"/>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74">
        <v>3</v>
      </c>
      <c r="B36" s="1336" t="s">
        <v>3162</v>
      </c>
      <c r="C36" s="1174" t="s">
        <v>3493</v>
      </c>
      <c r="D36" s="1331" t="s">
        <v>3182</v>
      </c>
      <c r="E36" s="1369" t="s">
        <v>3503</v>
      </c>
      <c r="F36" s="1371" t="s">
        <v>3499</v>
      </c>
      <c r="G36" s="1174" t="s">
        <v>3500</v>
      </c>
      <c r="H36" s="1174"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76"/>
      <c r="B37" s="1332"/>
      <c r="C37" s="1176"/>
      <c r="D37" s="1332"/>
      <c r="E37" s="1370"/>
      <c r="F37" s="1372"/>
      <c r="G37" s="1176"/>
      <c r="H37" s="1176"/>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58" t="s">
        <v>695</v>
      </c>
      <c r="N38" s="1359"/>
      <c r="O38" s="1359"/>
      <c r="P38" s="1360"/>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38">
        <v>4</v>
      </c>
      <c r="B40" s="1340" t="s">
        <v>3526</v>
      </c>
      <c r="C40" s="1174" t="s">
        <v>3527</v>
      </c>
      <c r="D40" s="1329" t="s">
        <v>3528</v>
      </c>
      <c r="E40" s="1342" t="s">
        <v>3529</v>
      </c>
      <c r="F40" s="1180" t="s">
        <v>3530</v>
      </c>
      <c r="G40" s="1174" t="s">
        <v>446</v>
      </c>
      <c r="H40" s="1180"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39"/>
      <c r="B41" s="1341"/>
      <c r="C41" s="1175"/>
      <c r="D41" s="1329"/>
      <c r="E41" s="1343"/>
      <c r="F41" s="1180"/>
      <c r="G41" s="1175"/>
      <c r="H41" s="1180"/>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39"/>
      <c r="B42" s="1341"/>
      <c r="C42" s="1175"/>
      <c r="D42" s="1336" t="s">
        <v>3537</v>
      </c>
      <c r="E42" s="1333" t="s">
        <v>3538</v>
      </c>
      <c r="F42" s="1174" t="s">
        <v>3504</v>
      </c>
      <c r="G42" s="1174">
        <v>0</v>
      </c>
      <c r="H42" s="1174"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39"/>
      <c r="B43" s="1341"/>
      <c r="C43" s="1175"/>
      <c r="D43" s="1331"/>
      <c r="E43" s="1334"/>
      <c r="F43" s="1175"/>
      <c r="G43" s="1175"/>
      <c r="H43" s="1175"/>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39"/>
      <c r="B44" s="1341"/>
      <c r="C44" s="1175"/>
      <c r="D44" s="1331"/>
      <c r="E44" s="1334"/>
      <c r="F44" s="1175"/>
      <c r="G44" s="1175"/>
      <c r="H44" s="1175"/>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39"/>
      <c r="B45" s="1341"/>
      <c r="C45" s="1175"/>
      <c r="D45" s="1331"/>
      <c r="E45" s="1334"/>
      <c r="F45" s="1175"/>
      <c r="G45" s="1175"/>
      <c r="H45" s="1175"/>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38"/>
      <c r="B46" s="1437"/>
      <c r="C46" s="1176"/>
      <c r="D46" s="1332"/>
      <c r="E46" s="1335"/>
      <c r="F46" s="1176"/>
      <c r="G46" s="1176"/>
      <c r="H46" s="1176"/>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58" t="s">
        <v>695</v>
      </c>
      <c r="N47" s="1359"/>
      <c r="O47" s="1359"/>
      <c r="P47" s="1360"/>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74">
        <v>5</v>
      </c>
      <c r="B49" s="1336" t="s">
        <v>3112</v>
      </c>
      <c r="C49" s="1177" t="s">
        <v>3558</v>
      </c>
      <c r="D49" s="1336" t="s">
        <v>3559</v>
      </c>
      <c r="E49" s="1333" t="s">
        <v>3483</v>
      </c>
      <c r="F49" s="1180" t="s">
        <v>3484</v>
      </c>
      <c r="G49" s="1180">
        <v>0</v>
      </c>
      <c r="H49" s="1180"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75"/>
      <c r="B50" s="1331"/>
      <c r="C50" s="1178"/>
      <c r="D50" s="1331"/>
      <c r="E50" s="1334"/>
      <c r="F50" s="1180"/>
      <c r="G50" s="1180"/>
      <c r="H50" s="1180"/>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76"/>
      <c r="B51" s="1332"/>
      <c r="C51" s="1179"/>
      <c r="D51" s="1332"/>
      <c r="E51" s="1335"/>
      <c r="F51" s="1180"/>
      <c r="G51" s="1180"/>
      <c r="H51" s="1180"/>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58" t="s">
        <v>695</v>
      </c>
      <c r="N52" s="1359"/>
      <c r="O52" s="1359"/>
      <c r="P52" s="1360"/>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74">
        <v>6</v>
      </c>
      <c r="B54" s="1336" t="s">
        <v>3569</v>
      </c>
      <c r="C54" s="1174" t="s">
        <v>3570</v>
      </c>
      <c r="D54" s="1329" t="s">
        <v>3571</v>
      </c>
      <c r="E54" s="1373" t="s">
        <v>3572</v>
      </c>
      <c r="F54" s="1180" t="s">
        <v>3484</v>
      </c>
      <c r="G54" s="1180" t="s">
        <v>3573</v>
      </c>
      <c r="H54" s="1180"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75"/>
      <c r="B55" s="1331"/>
      <c r="C55" s="1175"/>
      <c r="D55" s="1329"/>
      <c r="E55" s="1374"/>
      <c r="F55" s="1180"/>
      <c r="G55" s="1180"/>
      <c r="H55" s="1180"/>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75"/>
      <c r="B56" s="1331"/>
      <c r="C56" s="1175"/>
      <c r="D56" s="1336" t="s">
        <v>434</v>
      </c>
      <c r="E56" s="1333" t="s">
        <v>3577</v>
      </c>
      <c r="F56" s="1174" t="s">
        <v>3578</v>
      </c>
      <c r="G56" s="1174" t="s">
        <v>3579</v>
      </c>
      <c r="H56" s="1174" t="s">
        <v>3580</v>
      </c>
      <c r="I56" s="1180"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75"/>
      <c r="B57" s="1331"/>
      <c r="C57" s="1175"/>
      <c r="D57" s="1331"/>
      <c r="E57" s="1334"/>
      <c r="F57" s="1175"/>
      <c r="G57" s="1175"/>
      <c r="H57" s="1175"/>
      <c r="I57" s="1180"/>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75"/>
      <c r="B58" s="1331"/>
      <c r="C58" s="1175"/>
      <c r="D58" s="1331"/>
      <c r="E58" s="1334"/>
      <c r="F58" s="1175"/>
      <c r="G58" s="1175"/>
      <c r="H58" s="1175"/>
      <c r="I58" s="1180"/>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75"/>
      <c r="B59" s="1331"/>
      <c r="C59" s="1175"/>
      <c r="D59" s="1331"/>
      <c r="E59" s="1334"/>
      <c r="F59" s="1175"/>
      <c r="G59" s="1175"/>
      <c r="H59" s="1175"/>
      <c r="I59" s="1180"/>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75"/>
      <c r="B60" s="1331"/>
      <c r="C60" s="1175"/>
      <c r="D60" s="1331"/>
      <c r="E60" s="1334"/>
      <c r="F60" s="1175"/>
      <c r="G60" s="1175"/>
      <c r="H60" s="1175"/>
      <c r="I60" s="1180"/>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75"/>
      <c r="B61" s="1331"/>
      <c r="C61" s="1175"/>
      <c r="D61" s="1331"/>
      <c r="E61" s="1334"/>
      <c r="F61" s="1175"/>
      <c r="G61" s="1175"/>
      <c r="H61" s="1175"/>
      <c r="I61" s="1180"/>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80">
        <v>6</v>
      </c>
      <c r="B63" s="1344" t="s">
        <v>3569</v>
      </c>
      <c r="C63" s="1180" t="s">
        <v>3570</v>
      </c>
      <c r="D63" s="1329" t="s">
        <v>434</v>
      </c>
      <c r="E63" s="1439" t="s">
        <v>3577</v>
      </c>
      <c r="F63" s="1180" t="s">
        <v>3578</v>
      </c>
      <c r="G63" s="1180" t="s">
        <v>3579</v>
      </c>
      <c r="H63" s="1180" t="s">
        <v>3580</v>
      </c>
      <c r="I63" s="1180"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80"/>
      <c r="B64" s="1344"/>
      <c r="C64" s="1180"/>
      <c r="D64" s="1329"/>
      <c r="E64" s="1439"/>
      <c r="F64" s="1180"/>
      <c r="G64" s="1180"/>
      <c r="H64" s="1180"/>
      <c r="I64" s="1180"/>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58" t="s">
        <v>695</v>
      </c>
      <c r="N65" s="1359"/>
      <c r="O65" s="1359"/>
      <c r="P65" s="1360"/>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80">
        <v>7</v>
      </c>
      <c r="B67" s="1329" t="s">
        <v>3598</v>
      </c>
      <c r="C67" s="1180" t="s">
        <v>3599</v>
      </c>
      <c r="D67" s="1329" t="s">
        <v>3600</v>
      </c>
      <c r="E67" s="1342" t="s">
        <v>3577</v>
      </c>
      <c r="F67" s="1180" t="s">
        <v>3674</v>
      </c>
      <c r="G67" s="1180" t="s">
        <v>3675</v>
      </c>
      <c r="H67" s="1180" t="s">
        <v>3676</v>
      </c>
      <c r="I67" s="1174"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80"/>
      <c r="B68" s="1329"/>
      <c r="C68" s="1180"/>
      <c r="D68" s="1329"/>
      <c r="E68" s="1343"/>
      <c r="F68" s="1180"/>
      <c r="G68" s="1180"/>
      <c r="H68" s="1180"/>
      <c r="I68" s="1176"/>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80"/>
      <c r="B69" s="1329"/>
      <c r="C69" s="1180"/>
      <c r="D69" s="1344" t="s">
        <v>3605</v>
      </c>
      <c r="E69" s="1333" t="s">
        <v>3667</v>
      </c>
      <c r="F69" s="1180" t="s">
        <v>3698</v>
      </c>
      <c r="G69" s="1180" t="s">
        <v>3677</v>
      </c>
      <c r="H69" s="1180" t="s">
        <v>3678</v>
      </c>
      <c r="I69" s="1174"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80"/>
      <c r="B70" s="1329"/>
      <c r="C70" s="1180"/>
      <c r="D70" s="1344"/>
      <c r="E70" s="1334"/>
      <c r="F70" s="1180"/>
      <c r="G70" s="1180"/>
      <c r="H70" s="1180"/>
      <c r="I70" s="1175"/>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80"/>
      <c r="B71" s="1329"/>
      <c r="C71" s="1180"/>
      <c r="D71" s="1344"/>
      <c r="E71" s="1334"/>
      <c r="F71" s="1180"/>
      <c r="G71" s="1180"/>
      <c r="H71" s="1180"/>
      <c r="I71" s="1176"/>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80"/>
      <c r="B72" s="1329"/>
      <c r="C72" s="1180"/>
      <c r="D72" s="1344"/>
      <c r="E72" s="1334"/>
      <c r="F72" s="1180"/>
      <c r="G72" s="1180"/>
      <c r="H72" s="1180"/>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58" t="s">
        <v>695</v>
      </c>
      <c r="N73" s="1359"/>
      <c r="O73" s="1359"/>
      <c r="P73" s="1360"/>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40"/>
      <c r="N74" s="1440"/>
      <c r="O74" s="1440"/>
      <c r="P74" s="1440"/>
      <c r="Q74" s="1440"/>
      <c r="R74" s="1440"/>
      <c r="S74" s="1440"/>
      <c r="T74" s="1440"/>
      <c r="U74" s="1440"/>
      <c r="V74" s="1440"/>
      <c r="W74" s="1440"/>
      <c r="X74" s="1440"/>
      <c r="Y74" s="1440"/>
      <c r="Z74" s="769"/>
      <c r="AA74" s="769"/>
      <c r="AB74" s="769"/>
      <c r="AC74" s="769"/>
      <c r="AU74" s="445"/>
    </row>
    <row r="75" spans="1:70" ht="17.25" customHeight="1" x14ac:dyDescent="0.2">
      <c r="A75" s="419"/>
      <c r="B75" s="419"/>
      <c r="C75" s="419"/>
      <c r="D75" s="419"/>
      <c r="E75" s="419"/>
      <c r="F75" s="419"/>
      <c r="G75" s="419"/>
      <c r="H75" s="419"/>
      <c r="I75" s="419"/>
      <c r="J75" s="419"/>
      <c r="K75" s="419"/>
      <c r="L75" s="419"/>
      <c r="M75" s="1362" t="s">
        <v>695</v>
      </c>
      <c r="N75" s="1363"/>
      <c r="O75" s="1363"/>
      <c r="P75" s="1364"/>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62" t="s">
        <v>3654</v>
      </c>
      <c r="N76" s="1363"/>
      <c r="O76" s="1363"/>
      <c r="P76" s="1364"/>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62" t="s">
        <v>3655</v>
      </c>
      <c r="N77" s="1363"/>
      <c r="O77" s="1363"/>
      <c r="P77" s="1364"/>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41" t="s">
        <v>4118</v>
      </c>
      <c r="N79" s="1441"/>
      <c r="O79" s="1441"/>
      <c r="P79" s="1441"/>
      <c r="Q79" s="1441"/>
      <c r="R79" s="1441"/>
      <c r="S79" s="1441"/>
      <c r="T79" s="1441"/>
      <c r="U79" s="1441"/>
      <c r="V79" s="1441"/>
      <c r="W79" s="450" t="e">
        <f>+#REF!</f>
        <v>#REF!</v>
      </c>
      <c r="X79" s="450"/>
      <c r="Y79" s="412">
        <v>372988398</v>
      </c>
      <c r="Z79" s="412"/>
      <c r="AA79" s="412"/>
      <c r="AB79" s="412">
        <v>372988398</v>
      </c>
      <c r="AC79" s="412"/>
      <c r="AD79" s="574" t="s">
        <v>4120</v>
      </c>
    </row>
    <row r="80" spans="1:70" x14ac:dyDescent="0.2">
      <c r="M80" s="1442" t="s">
        <v>4119</v>
      </c>
      <c r="N80" s="1442"/>
      <c r="O80" s="1442"/>
      <c r="P80" s="1442"/>
      <c r="Q80" s="1442"/>
      <c r="R80" s="1442"/>
      <c r="S80" s="1442"/>
      <c r="T80" s="1442"/>
      <c r="U80" s="1442"/>
      <c r="V80" s="1442"/>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M65:P65"/>
    <mergeCell ref="I56:I61"/>
    <mergeCell ref="H54:H55"/>
    <mergeCell ref="D56:D61"/>
    <mergeCell ref="E56:E61"/>
    <mergeCell ref="F56:F61"/>
    <mergeCell ref="G56:G61"/>
    <mergeCell ref="H56:H61"/>
    <mergeCell ref="G49:G51"/>
    <mergeCell ref="H49:H51"/>
    <mergeCell ref="M52:P52"/>
    <mergeCell ref="M74:Y74"/>
    <mergeCell ref="M79:V79"/>
    <mergeCell ref="M80:V80"/>
    <mergeCell ref="M73:P73"/>
    <mergeCell ref="M75:P75"/>
    <mergeCell ref="D69:D72"/>
    <mergeCell ref="E69:E72"/>
    <mergeCell ref="F69:F72"/>
    <mergeCell ref="G69:G72"/>
    <mergeCell ref="H69:H72"/>
    <mergeCell ref="I69:I71"/>
    <mergeCell ref="M76:P76"/>
    <mergeCell ref="M77:P77"/>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A54:A61"/>
    <mergeCell ref="B54:B61"/>
    <mergeCell ref="C54:C61"/>
    <mergeCell ref="D54:D55"/>
    <mergeCell ref="E54:E55"/>
    <mergeCell ref="F54:F55"/>
    <mergeCell ref="G54:G55"/>
    <mergeCell ref="A49:A51"/>
    <mergeCell ref="B49:B51"/>
    <mergeCell ref="C49:C51"/>
    <mergeCell ref="D49:D51"/>
    <mergeCell ref="E49:E51"/>
    <mergeCell ref="F49:F51"/>
    <mergeCell ref="A36:A37"/>
    <mergeCell ref="B36:B37"/>
    <mergeCell ref="C36:C37"/>
    <mergeCell ref="D36:D37"/>
    <mergeCell ref="E36:E37"/>
    <mergeCell ref="F36:F37"/>
    <mergeCell ref="G36:G37"/>
    <mergeCell ref="C40:C46"/>
    <mergeCell ref="B40:B46"/>
    <mergeCell ref="A40:A46"/>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23" t="s">
        <v>447</v>
      </c>
      <c r="B1" s="1325" t="s">
        <v>2733</v>
      </c>
      <c r="C1" s="1447" t="s">
        <v>4164</v>
      </c>
      <c r="D1" s="1319" t="s">
        <v>3418</v>
      </c>
      <c r="E1" s="1446"/>
      <c r="F1" s="1312" t="s">
        <v>4158</v>
      </c>
      <c r="G1" s="1312" t="s">
        <v>4150</v>
      </c>
      <c r="H1" s="1312" t="s">
        <v>4151</v>
      </c>
      <c r="I1" s="1319" t="s">
        <v>3418</v>
      </c>
      <c r="J1" s="592"/>
      <c r="K1" s="1443" t="s">
        <v>3425</v>
      </c>
      <c r="L1" s="1444"/>
      <c r="M1" s="1444"/>
      <c r="N1" s="1444"/>
      <c r="O1" s="1444"/>
      <c r="P1" s="1444"/>
      <c r="Q1" s="1444"/>
      <c r="R1" s="1444" t="s">
        <v>3425</v>
      </c>
      <c r="S1" s="1444"/>
      <c r="T1" s="1444"/>
      <c r="U1" s="1444"/>
      <c r="V1" s="1444"/>
      <c r="W1" s="1445"/>
    </row>
    <row r="2" spans="1:24" ht="38.25" customHeight="1" thickBot="1" x14ac:dyDescent="0.25">
      <c r="A2" s="1324"/>
      <c r="B2" s="1326"/>
      <c r="C2" s="1448"/>
      <c r="D2" s="1320"/>
      <c r="E2" s="1446"/>
      <c r="F2" s="1313"/>
      <c r="G2" s="1313"/>
      <c r="H2" s="1313"/>
      <c r="I2" s="1320"/>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49"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50"/>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50"/>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50"/>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51"/>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49"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50"/>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50"/>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51"/>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52"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53"/>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53"/>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53"/>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52"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53"/>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53"/>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53"/>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54"/>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55"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56"/>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56"/>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56"/>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56"/>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56"/>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56"/>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56"/>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56"/>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56"/>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57"/>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52"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53"/>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54"/>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52"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53"/>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53"/>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53"/>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53"/>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54"/>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58"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59"/>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59"/>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59"/>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60"/>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52"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53"/>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53"/>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53"/>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53"/>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53"/>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54"/>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49"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50"/>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50"/>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50"/>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50"/>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50"/>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50"/>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50"/>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50"/>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51"/>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21" t="s">
        <v>2797</v>
      </c>
      <c r="C68" s="1322"/>
      <c r="D68" s="1322"/>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B68:D68"/>
    <mergeCell ref="A1:A2"/>
    <mergeCell ref="B1:B2"/>
    <mergeCell ref="D1:D2"/>
    <mergeCell ref="C22:C32"/>
    <mergeCell ref="C34:C36"/>
    <mergeCell ref="C37:C42"/>
    <mergeCell ref="C43:C47"/>
    <mergeCell ref="C49:C55"/>
    <mergeCell ref="E1:E2"/>
    <mergeCell ref="C1:C2"/>
    <mergeCell ref="C3:C7"/>
    <mergeCell ref="C8:C11"/>
    <mergeCell ref="C56:C65"/>
    <mergeCell ref="C13:C16"/>
    <mergeCell ref="C17:C21"/>
    <mergeCell ref="H1:H2"/>
    <mergeCell ref="I1:I2"/>
    <mergeCell ref="F1:F2"/>
    <mergeCell ref="K1:Q1"/>
    <mergeCell ref="R1:W1"/>
    <mergeCell ref="G1:G2"/>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90" t="s">
        <v>3338</v>
      </c>
      <c r="B1" s="1291"/>
      <c r="C1" s="1291"/>
      <c r="D1" s="1291"/>
      <c r="E1" s="1291"/>
      <c r="F1" s="1291"/>
      <c r="G1" s="1225" t="s">
        <v>3428</v>
      </c>
      <c r="H1" s="1220"/>
      <c r="I1" s="1220"/>
      <c r="J1" s="1226"/>
      <c r="K1" s="1219" t="s">
        <v>3427</v>
      </c>
      <c r="L1" s="1220"/>
      <c r="M1" s="1220"/>
      <c r="N1" s="1220"/>
      <c r="O1" s="1220"/>
      <c r="P1" s="1464" t="s">
        <v>4049</v>
      </c>
      <c r="Q1" s="1464"/>
      <c r="R1" s="1464"/>
      <c r="S1" s="1220" t="s">
        <v>3429</v>
      </c>
      <c r="T1" s="1220"/>
      <c r="U1" s="1220"/>
      <c r="V1" s="1220"/>
      <c r="W1" s="1220"/>
      <c r="X1" s="1226"/>
      <c r="Y1" s="314"/>
      <c r="Z1" s="1219" t="s">
        <v>3339</v>
      </c>
      <c r="AA1" s="1220"/>
      <c r="AB1" s="1220"/>
      <c r="AC1" s="1220"/>
      <c r="AD1" s="1221"/>
      <c r="AE1" s="1463" t="s">
        <v>4046</v>
      </c>
      <c r="AF1" s="1222" t="s">
        <v>447</v>
      </c>
      <c r="AH1" s="1202" t="s">
        <v>3347</v>
      </c>
      <c r="AI1" s="1225" t="s">
        <v>3467</v>
      </c>
      <c r="AJ1" s="1220"/>
      <c r="AK1" s="1220"/>
      <c r="AL1" s="1220"/>
      <c r="AM1" s="1225" t="s">
        <v>3468</v>
      </c>
      <c r="AN1" s="1220"/>
      <c r="AO1" s="1220"/>
      <c r="AP1" s="1220"/>
      <c r="AQ1" s="1225" t="s">
        <v>3469</v>
      </c>
      <c r="AR1" s="1220"/>
      <c r="AS1" s="1220"/>
      <c r="AT1" s="1220"/>
      <c r="AU1" s="1219" t="s">
        <v>3470</v>
      </c>
      <c r="AV1" s="1220"/>
      <c r="AW1" s="1220"/>
      <c r="AX1" s="1220"/>
      <c r="AY1" s="1221"/>
    </row>
    <row r="2" spans="1:51" ht="30.75" customHeight="1" x14ac:dyDescent="0.25">
      <c r="A2" s="1297" t="s">
        <v>3137</v>
      </c>
      <c r="B2" s="1298"/>
      <c r="C2" s="1297" t="s">
        <v>3283</v>
      </c>
      <c r="D2" s="1298"/>
      <c r="E2" s="1297" t="s">
        <v>3139</v>
      </c>
      <c r="F2" s="1301"/>
      <c r="G2" s="1231" t="s">
        <v>3414</v>
      </c>
      <c r="H2" s="1199" t="s">
        <v>3419</v>
      </c>
      <c r="I2" s="1199"/>
      <c r="J2" s="1199"/>
      <c r="K2" s="1201" t="s">
        <v>461</v>
      </c>
      <c r="L2" s="1201"/>
      <c r="M2" s="1201"/>
      <c r="N2" s="1217" t="s">
        <v>3421</v>
      </c>
      <c r="O2" s="1461"/>
      <c r="P2" s="1464"/>
      <c r="Q2" s="1464"/>
      <c r="R2" s="1464"/>
      <c r="S2" s="1298" t="s">
        <v>3415</v>
      </c>
      <c r="T2" s="1197" t="s">
        <v>3284</v>
      </c>
      <c r="U2" s="1199" t="s">
        <v>3420</v>
      </c>
      <c r="V2" s="1199"/>
      <c r="W2" s="1199"/>
      <c r="X2" s="1199"/>
      <c r="Y2" s="1200"/>
      <c r="Z2" s="1201" t="s">
        <v>461</v>
      </c>
      <c r="AA2" s="1201"/>
      <c r="AB2" s="1201"/>
      <c r="AC2" s="1217" t="s">
        <v>3421</v>
      </c>
      <c r="AD2" s="1218"/>
      <c r="AE2" s="1463"/>
      <c r="AF2" s="1223"/>
      <c r="AG2" s="1205" t="s">
        <v>3320</v>
      </c>
      <c r="AH2" s="1203"/>
      <c r="AI2" s="1231" t="s">
        <v>3415</v>
      </c>
      <c r="AJ2" s="1199" t="s">
        <v>3420</v>
      </c>
      <c r="AK2" s="1199"/>
      <c r="AL2" s="1200"/>
      <c r="AM2" s="1231" t="s">
        <v>3415</v>
      </c>
      <c r="AN2" s="1199" t="s">
        <v>3420</v>
      </c>
      <c r="AO2" s="1199"/>
      <c r="AP2" s="1200"/>
      <c r="AQ2" s="1231" t="s">
        <v>3415</v>
      </c>
      <c r="AR2" s="1199" t="s">
        <v>3420</v>
      </c>
      <c r="AS2" s="1199"/>
      <c r="AT2" s="1200"/>
      <c r="AU2" s="1201" t="s">
        <v>461</v>
      </c>
      <c r="AV2" s="1201"/>
      <c r="AW2" s="1201"/>
      <c r="AX2" s="1217" t="s">
        <v>3421</v>
      </c>
      <c r="AY2" s="1218"/>
    </row>
    <row r="3" spans="1:51" x14ac:dyDescent="0.25">
      <c r="A3" s="1299"/>
      <c r="B3" s="1300"/>
      <c r="C3" s="1299"/>
      <c r="D3" s="1300"/>
      <c r="E3" s="1299"/>
      <c r="F3" s="1302"/>
      <c r="G3" s="1232"/>
      <c r="H3" s="386" t="s">
        <v>1</v>
      </c>
      <c r="I3" s="386" t="s">
        <v>458</v>
      </c>
      <c r="J3" s="386" t="s">
        <v>459</v>
      </c>
      <c r="K3" s="362" t="s">
        <v>1</v>
      </c>
      <c r="L3" s="362" t="s">
        <v>2</v>
      </c>
      <c r="M3" s="362" t="s">
        <v>460</v>
      </c>
      <c r="N3" s="269" t="s">
        <v>433</v>
      </c>
      <c r="O3" s="615" t="s">
        <v>3422</v>
      </c>
      <c r="P3" s="675" t="s">
        <v>4045</v>
      </c>
      <c r="Q3" s="675" t="s">
        <v>4048</v>
      </c>
      <c r="R3" s="675" t="s">
        <v>4050</v>
      </c>
      <c r="S3" s="1300"/>
      <c r="T3" s="1198"/>
      <c r="U3" s="386" t="s">
        <v>1</v>
      </c>
      <c r="V3" s="386" t="s">
        <v>458</v>
      </c>
      <c r="W3" s="628" t="s">
        <v>459</v>
      </c>
      <c r="X3" s="628" t="s">
        <v>4047</v>
      </c>
      <c r="Y3" s="386" t="s">
        <v>460</v>
      </c>
      <c r="Z3" s="362" t="s">
        <v>1</v>
      </c>
      <c r="AA3" s="362" t="s">
        <v>2</v>
      </c>
      <c r="AB3" s="362" t="s">
        <v>460</v>
      </c>
      <c r="AC3" s="269" t="s">
        <v>433</v>
      </c>
      <c r="AD3" s="306" t="s">
        <v>3422</v>
      </c>
      <c r="AE3" s="632" t="s">
        <v>4045</v>
      </c>
      <c r="AF3" s="1224"/>
      <c r="AG3" s="1206"/>
      <c r="AH3" s="1204"/>
      <c r="AI3" s="1232"/>
      <c r="AJ3" s="386" t="s">
        <v>1</v>
      </c>
      <c r="AK3" s="386" t="s">
        <v>459</v>
      </c>
      <c r="AL3" s="386" t="s">
        <v>460</v>
      </c>
      <c r="AM3" s="1232"/>
      <c r="AN3" s="386" t="s">
        <v>1</v>
      </c>
      <c r="AO3" s="386" t="s">
        <v>459</v>
      </c>
      <c r="AP3" s="386" t="s">
        <v>460</v>
      </c>
      <c r="AQ3" s="1232"/>
      <c r="AR3" s="386" t="s">
        <v>1</v>
      </c>
      <c r="AS3" s="386" t="s">
        <v>459</v>
      </c>
      <c r="AT3" s="386" t="s">
        <v>460</v>
      </c>
      <c r="AU3" s="362" t="s">
        <v>1</v>
      </c>
      <c r="AV3" s="362" t="s">
        <v>2</v>
      </c>
      <c r="AW3" s="362" t="s">
        <v>460</v>
      </c>
      <c r="AX3" s="269" t="s">
        <v>433</v>
      </c>
      <c r="AY3" s="306" t="s">
        <v>3422</v>
      </c>
    </row>
    <row r="4" spans="1:51" ht="86.45" customHeight="1" x14ac:dyDescent="0.25">
      <c r="A4" s="1227" t="s">
        <v>3079</v>
      </c>
      <c r="B4" s="1227" t="s">
        <v>3080</v>
      </c>
      <c r="C4" s="1227" t="s">
        <v>3081</v>
      </c>
      <c r="D4" s="1227"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183"/>
      <c r="B5" s="1183"/>
      <c r="C5" s="1183"/>
      <c r="D5" s="1183"/>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183"/>
      <c r="B6" s="1183"/>
      <c r="C6" s="1183"/>
      <c r="D6" s="1183"/>
      <c r="E6" s="1227" t="s">
        <v>3091</v>
      </c>
      <c r="F6" s="1228" t="s">
        <v>3092</v>
      </c>
      <c r="G6" s="1207">
        <v>75000000</v>
      </c>
      <c r="H6" s="1213" t="s">
        <v>3093</v>
      </c>
      <c r="I6" s="1213" t="s">
        <v>3276</v>
      </c>
      <c r="J6" s="1214">
        <v>0.3</v>
      </c>
      <c r="K6" s="109" t="s">
        <v>156</v>
      </c>
      <c r="L6" s="154" t="s">
        <v>3196</v>
      </c>
      <c r="M6" s="158">
        <v>12500000</v>
      </c>
      <c r="N6" s="149">
        <v>12498800</v>
      </c>
      <c r="O6" s="637">
        <v>0.05</v>
      </c>
      <c r="P6" s="639">
        <f>+O6*J6</f>
        <v>1.4999999999999999E-2</v>
      </c>
      <c r="Q6" s="639">
        <f>+N6/M6</f>
        <v>0.99990400000000002</v>
      </c>
      <c r="R6" s="639">
        <f t="shared" si="0"/>
        <v>1.4998559999999999E-2</v>
      </c>
      <c r="S6" s="1257">
        <v>25000000</v>
      </c>
      <c r="T6" s="1210">
        <v>25000000</v>
      </c>
      <c r="U6" s="1213" t="s">
        <v>3093</v>
      </c>
      <c r="V6" s="1213" t="s">
        <v>3276</v>
      </c>
      <c r="W6" s="627"/>
      <c r="X6" s="1214">
        <v>0.2</v>
      </c>
      <c r="Y6" s="128"/>
      <c r="Z6" s="109" t="s">
        <v>156</v>
      </c>
      <c r="AA6" s="154" t="s">
        <v>3196</v>
      </c>
      <c r="AB6" s="158">
        <v>166536786</v>
      </c>
      <c r="AC6" s="149">
        <v>97035779</v>
      </c>
      <c r="AD6" s="637">
        <v>0.98</v>
      </c>
      <c r="AE6" s="639">
        <f t="shared" si="1"/>
        <v>0.19600000000000001</v>
      </c>
      <c r="AF6" s="277">
        <v>510</v>
      </c>
      <c r="AG6" s="157" t="e">
        <f>+#REF!-#REF!</f>
        <v>#REF!</v>
      </c>
      <c r="AH6" s="355" t="s">
        <v>3349</v>
      </c>
      <c r="AI6" s="1207">
        <v>25000000</v>
      </c>
      <c r="AJ6" s="1213" t="s">
        <v>3093</v>
      </c>
      <c r="AK6" s="1214">
        <v>0.2</v>
      </c>
      <c r="AL6" s="1235"/>
      <c r="AM6" s="1207">
        <v>25000000</v>
      </c>
      <c r="AN6" s="1213" t="s">
        <v>3093</v>
      </c>
      <c r="AO6" s="1214">
        <v>0.2</v>
      </c>
      <c r="AP6" s="1235"/>
      <c r="AQ6" s="1207">
        <v>25000000</v>
      </c>
      <c r="AR6" s="1213" t="s">
        <v>3093</v>
      </c>
      <c r="AS6" s="1214">
        <v>0.2</v>
      </c>
      <c r="AT6" s="1235"/>
      <c r="AU6" s="109" t="s">
        <v>156</v>
      </c>
      <c r="AV6" s="154" t="s">
        <v>3196</v>
      </c>
      <c r="AW6" s="158">
        <f t="shared" si="2"/>
        <v>179036786</v>
      </c>
      <c r="AX6" s="149">
        <f t="shared" si="2"/>
        <v>109534579</v>
      </c>
      <c r="AY6" s="309"/>
    </row>
    <row r="7" spans="1:51" ht="35.25" customHeight="1" x14ac:dyDescent="0.25">
      <c r="A7" s="1183"/>
      <c r="B7" s="1183"/>
      <c r="C7" s="1183"/>
      <c r="D7" s="1183"/>
      <c r="E7" s="1183"/>
      <c r="F7" s="1197"/>
      <c r="G7" s="1208"/>
      <c r="H7" s="1192"/>
      <c r="I7" s="1192"/>
      <c r="J7" s="1215"/>
      <c r="K7" s="111" t="s">
        <v>327</v>
      </c>
      <c r="L7" s="159" t="s">
        <v>3282</v>
      </c>
      <c r="M7" s="168">
        <v>5000000</v>
      </c>
      <c r="N7" s="149">
        <v>0</v>
      </c>
      <c r="O7" s="637">
        <v>0</v>
      </c>
      <c r="P7" s="639">
        <f>+O7*J7</f>
        <v>0</v>
      </c>
      <c r="Q7" s="639">
        <f>+N7/M7</f>
        <v>0</v>
      </c>
      <c r="R7" s="639">
        <f t="shared" si="0"/>
        <v>0</v>
      </c>
      <c r="S7" s="1258"/>
      <c r="T7" s="1211"/>
      <c r="U7" s="1192"/>
      <c r="V7" s="1192"/>
      <c r="W7" s="609"/>
      <c r="X7" s="1215"/>
      <c r="Y7" s="182"/>
      <c r="Z7" s="111" t="s">
        <v>327</v>
      </c>
      <c r="AA7" s="159" t="s">
        <v>3282</v>
      </c>
      <c r="AB7" s="158">
        <v>15000000</v>
      </c>
      <c r="AC7" s="149">
        <v>9030320</v>
      </c>
      <c r="AD7" s="637">
        <v>0.5</v>
      </c>
      <c r="AE7" s="639">
        <f t="shared" si="1"/>
        <v>0</v>
      </c>
      <c r="AF7" s="277">
        <v>510</v>
      </c>
      <c r="AG7" s="157" t="e">
        <f>+#REF!-#REF!</f>
        <v>#REF!</v>
      </c>
      <c r="AH7" s="355" t="s">
        <v>3348</v>
      </c>
      <c r="AI7" s="1208"/>
      <c r="AJ7" s="1192"/>
      <c r="AK7" s="1215"/>
      <c r="AL7" s="1236"/>
      <c r="AM7" s="1208"/>
      <c r="AN7" s="1192"/>
      <c r="AO7" s="1215"/>
      <c r="AP7" s="1236"/>
      <c r="AQ7" s="1208"/>
      <c r="AR7" s="1192"/>
      <c r="AS7" s="1215"/>
      <c r="AT7" s="1236"/>
      <c r="AU7" s="111" t="s">
        <v>327</v>
      </c>
      <c r="AV7" s="159" t="s">
        <v>3282</v>
      </c>
      <c r="AW7" s="158">
        <f t="shared" si="2"/>
        <v>20000000</v>
      </c>
      <c r="AX7" s="149">
        <f t="shared" si="2"/>
        <v>9030320</v>
      </c>
      <c r="AY7" s="309"/>
    </row>
    <row r="8" spans="1:51" ht="28.5" customHeight="1" x14ac:dyDescent="0.25">
      <c r="A8" s="1183"/>
      <c r="B8" s="1183"/>
      <c r="C8" s="1183"/>
      <c r="D8" s="1183"/>
      <c r="E8" s="1183"/>
      <c r="F8" s="1197"/>
      <c r="G8" s="1209"/>
      <c r="H8" s="1193"/>
      <c r="I8" s="1193"/>
      <c r="J8" s="1216"/>
      <c r="K8" s="363" t="s">
        <v>389</v>
      </c>
      <c r="L8" s="171" t="s">
        <v>390</v>
      </c>
      <c r="M8" s="173">
        <v>57394998</v>
      </c>
      <c r="N8" s="149">
        <v>52393600</v>
      </c>
      <c r="O8" s="637">
        <v>1</v>
      </c>
      <c r="P8" s="639">
        <f>+O8*J8</f>
        <v>0</v>
      </c>
      <c r="Q8" s="639">
        <f>+N8/M8</f>
        <v>0.91286003703667695</v>
      </c>
      <c r="R8" s="639">
        <f t="shared" si="0"/>
        <v>0</v>
      </c>
      <c r="S8" s="1462"/>
      <c r="T8" s="1212"/>
      <c r="U8" s="1193"/>
      <c r="V8" s="1193"/>
      <c r="W8" s="612"/>
      <c r="X8" s="1216"/>
      <c r="Y8" s="182"/>
      <c r="Z8" s="363" t="s">
        <v>389</v>
      </c>
      <c r="AA8" s="171" t="s">
        <v>390</v>
      </c>
      <c r="AB8" s="158">
        <v>12240662</v>
      </c>
      <c r="AC8" s="149">
        <v>9657902</v>
      </c>
      <c r="AD8" s="637">
        <v>0.85</v>
      </c>
      <c r="AE8" s="639">
        <f t="shared" si="1"/>
        <v>0</v>
      </c>
      <c r="AF8" s="278">
        <v>510</v>
      </c>
      <c r="AG8" s="232" t="e">
        <f>+#REF!-#REF!</f>
        <v>#REF!</v>
      </c>
      <c r="AH8" s="388" t="s">
        <v>3350</v>
      </c>
      <c r="AI8" s="1209"/>
      <c r="AJ8" s="1193"/>
      <c r="AK8" s="1216"/>
      <c r="AL8" s="1289"/>
      <c r="AM8" s="1209"/>
      <c r="AN8" s="1193"/>
      <c r="AO8" s="1216"/>
      <c r="AP8" s="1289"/>
      <c r="AQ8" s="1209"/>
      <c r="AR8" s="1193"/>
      <c r="AS8" s="1216"/>
      <c r="AT8" s="1289"/>
      <c r="AU8" s="363" t="s">
        <v>389</v>
      </c>
      <c r="AV8" s="171" t="s">
        <v>390</v>
      </c>
      <c r="AW8" s="158">
        <f t="shared" si="2"/>
        <v>69635660</v>
      </c>
      <c r="AX8" s="149">
        <f t="shared" si="2"/>
        <v>62051502</v>
      </c>
      <c r="AY8" s="309"/>
    </row>
    <row r="9" spans="1:51" ht="24.75" customHeight="1" thickBot="1" x14ac:dyDescent="0.3">
      <c r="A9" s="1194" t="s">
        <v>3405</v>
      </c>
      <c r="B9" s="1194"/>
      <c r="C9" s="1194"/>
      <c r="D9" s="1194"/>
      <c r="E9" s="1194"/>
      <c r="F9" s="1233"/>
      <c r="G9" s="310">
        <f>SUM(G4:G8)</f>
        <v>325000000</v>
      </c>
      <c r="H9" s="635"/>
      <c r="I9" s="635"/>
      <c r="J9" s="636">
        <f>AVERAGE(J4:J8)</f>
        <v>0.43333333333333335</v>
      </c>
      <c r="K9" s="1229"/>
      <c r="L9" s="1230"/>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29"/>
      <c r="AA9" s="1230"/>
      <c r="AB9" s="311">
        <f>SUM(AB4:AB8)</f>
        <v>198777448</v>
      </c>
      <c r="AC9" s="311">
        <f>SUM(AC4:AC8)</f>
        <v>115724001</v>
      </c>
      <c r="AD9" s="638">
        <f>AVERAGE(AD4:AD8)</f>
        <v>0.83250000000000002</v>
      </c>
      <c r="AE9" s="640">
        <f t="shared" si="1"/>
        <v>0.222</v>
      </c>
      <c r="AF9" s="1248"/>
      <c r="AG9" s="1248"/>
      <c r="AH9" s="1266"/>
      <c r="AI9" s="310">
        <f>SUM(AI4:AI8)</f>
        <v>80000000</v>
      </c>
      <c r="AJ9" s="1229"/>
      <c r="AK9" s="1230"/>
      <c r="AL9" s="1234"/>
      <c r="AM9" s="310">
        <f>SUM(AM4:AM8)</f>
        <v>75000000</v>
      </c>
      <c r="AN9" s="1229"/>
      <c r="AO9" s="1230"/>
      <c r="AP9" s="1234"/>
      <c r="AQ9" s="310">
        <f>SUM(AQ4:AQ8)</f>
        <v>285000000</v>
      </c>
      <c r="AR9" s="1229"/>
      <c r="AS9" s="1230"/>
      <c r="AT9" s="1234"/>
      <c r="AU9" s="1229"/>
      <c r="AV9" s="1230"/>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194" t="s">
        <v>3095</v>
      </c>
      <c r="B11" s="1194" t="s">
        <v>648</v>
      </c>
      <c r="C11" s="1194" t="s">
        <v>3097</v>
      </c>
      <c r="D11" s="1194"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94" t="s">
        <v>3352</v>
      </c>
      <c r="AI11" s="383">
        <v>15000000</v>
      </c>
      <c r="AJ11" s="371" t="s">
        <v>3108</v>
      </c>
      <c r="AK11" s="371">
        <v>1</v>
      </c>
      <c r="AL11" s="375">
        <v>0</v>
      </c>
    </row>
    <row r="12" spans="1:51" ht="52.5" customHeight="1" x14ac:dyDescent="0.25">
      <c r="A12" s="1194"/>
      <c r="B12" s="1194"/>
      <c r="C12" s="1194"/>
      <c r="D12" s="1194"/>
      <c r="E12" s="1235" t="s">
        <v>3106</v>
      </c>
      <c r="F12" s="1227" t="s">
        <v>3107</v>
      </c>
      <c r="G12" s="1237"/>
      <c r="H12" s="1227"/>
      <c r="I12" s="1227"/>
      <c r="J12" s="1227"/>
      <c r="K12" s="1197"/>
      <c r="L12" s="1243"/>
      <c r="M12" s="1243"/>
      <c r="N12" s="1243"/>
      <c r="O12" s="1244"/>
      <c r="P12" s="645"/>
      <c r="Q12" s="624"/>
      <c r="R12" s="624"/>
      <c r="S12" s="1257">
        <v>15000000</v>
      </c>
      <c r="T12" s="383"/>
      <c r="U12" s="1227" t="s">
        <v>3108</v>
      </c>
      <c r="V12" s="1227" t="s">
        <v>3432</v>
      </c>
      <c r="W12" s="616"/>
      <c r="X12" s="1227" t="s">
        <v>3434</v>
      </c>
      <c r="Y12" s="377"/>
      <c r="Z12" s="371" t="e">
        <f>+#REF!</f>
        <v>#REF!</v>
      </c>
      <c r="AA12" s="371" t="e">
        <f>+#REF!</f>
        <v>#REF!</v>
      </c>
      <c r="AB12" s="158" t="e">
        <f>+#REF!</f>
        <v>#REF!</v>
      </c>
      <c r="AC12" s="149" t="e">
        <f>+#REF!</f>
        <v>#REF!</v>
      </c>
      <c r="AD12" s="149"/>
      <c r="AE12" s="149"/>
      <c r="AF12" s="151"/>
      <c r="AG12" s="157"/>
      <c r="AH12" s="1295"/>
      <c r="AI12" s="1240">
        <v>15000000</v>
      </c>
      <c r="AJ12" s="1227" t="s">
        <v>3108</v>
      </c>
      <c r="AK12" s="1227" t="s">
        <v>3434</v>
      </c>
      <c r="AL12" s="377"/>
    </row>
    <row r="13" spans="1:51" ht="46.5" customHeight="1" x14ac:dyDescent="0.25">
      <c r="A13" s="1194"/>
      <c r="B13" s="1194"/>
      <c r="C13" s="1194"/>
      <c r="D13" s="1194"/>
      <c r="E13" s="1236"/>
      <c r="F13" s="1183"/>
      <c r="G13" s="1238"/>
      <c r="H13" s="1183"/>
      <c r="I13" s="1183"/>
      <c r="J13" s="1183"/>
      <c r="K13" s="1197"/>
      <c r="L13" s="1243"/>
      <c r="M13" s="1243"/>
      <c r="N13" s="1243"/>
      <c r="O13" s="1244"/>
      <c r="P13" s="645"/>
      <c r="Q13" s="624"/>
      <c r="R13" s="624"/>
      <c r="S13" s="1258"/>
      <c r="T13" s="383"/>
      <c r="U13" s="1183"/>
      <c r="V13" s="1183"/>
      <c r="W13" s="617"/>
      <c r="X13" s="1183"/>
      <c r="Y13" s="377"/>
      <c r="Z13" s="371" t="e">
        <f>+#REF!</f>
        <v>#REF!</v>
      </c>
      <c r="AA13" s="371" t="e">
        <f>+#REF!</f>
        <v>#REF!</v>
      </c>
      <c r="AB13" s="158" t="e">
        <f>+#REF!</f>
        <v>#REF!</v>
      </c>
      <c r="AC13" s="149" t="e">
        <f>+#REF!</f>
        <v>#REF!</v>
      </c>
      <c r="AD13" s="149"/>
      <c r="AE13" s="149"/>
      <c r="AF13" s="151"/>
      <c r="AG13" s="157"/>
      <c r="AH13" s="1295"/>
      <c r="AI13" s="1241"/>
      <c r="AJ13" s="1183"/>
      <c r="AK13" s="1183"/>
      <c r="AL13" s="377"/>
    </row>
    <row r="14" spans="1:51" ht="45" customHeight="1" x14ac:dyDescent="0.25">
      <c r="A14" s="1194"/>
      <c r="B14" s="1194"/>
      <c r="C14" s="1194"/>
      <c r="D14" s="1194"/>
      <c r="E14" s="1236"/>
      <c r="F14" s="1183"/>
      <c r="G14" s="1238"/>
      <c r="H14" s="1183"/>
      <c r="I14" s="1183"/>
      <c r="J14" s="1183"/>
      <c r="K14" s="1197"/>
      <c r="L14" s="1243"/>
      <c r="M14" s="1243"/>
      <c r="N14" s="1243"/>
      <c r="O14" s="1244"/>
      <c r="P14" s="645"/>
      <c r="Q14" s="624"/>
      <c r="R14" s="624"/>
      <c r="S14" s="1258"/>
      <c r="T14" s="383"/>
      <c r="U14" s="1183"/>
      <c r="V14" s="1183"/>
      <c r="W14" s="617"/>
      <c r="X14" s="1183"/>
      <c r="Y14" s="377"/>
      <c r="Z14" s="371" t="e">
        <f>+#REF!</f>
        <v>#REF!</v>
      </c>
      <c r="AA14" s="371" t="e">
        <f>+#REF!</f>
        <v>#REF!</v>
      </c>
      <c r="AB14" s="158" t="e">
        <f>+#REF!</f>
        <v>#REF!</v>
      </c>
      <c r="AC14" s="149" t="e">
        <f>+#REF!</f>
        <v>#REF!</v>
      </c>
      <c r="AD14" s="149"/>
      <c r="AE14" s="149"/>
      <c r="AF14" s="151"/>
      <c r="AG14" s="157"/>
      <c r="AH14" s="1295"/>
      <c r="AI14" s="1241"/>
      <c r="AJ14" s="1183"/>
      <c r="AK14" s="1183"/>
      <c r="AL14" s="377"/>
    </row>
    <row r="15" spans="1:51" ht="52.5" customHeight="1" x14ac:dyDescent="0.25">
      <c r="A15" s="1194"/>
      <c r="B15" s="1194"/>
      <c r="C15" s="1194"/>
      <c r="D15" s="1194"/>
      <c r="E15" s="1236"/>
      <c r="F15" s="1183"/>
      <c r="G15" s="1238"/>
      <c r="H15" s="1183"/>
      <c r="I15" s="1183"/>
      <c r="J15" s="1183"/>
      <c r="K15" s="1197"/>
      <c r="L15" s="1243"/>
      <c r="M15" s="1243"/>
      <c r="N15" s="1243"/>
      <c r="O15" s="1244"/>
      <c r="P15" s="645"/>
      <c r="Q15" s="624"/>
      <c r="R15" s="624"/>
      <c r="S15" s="1258"/>
      <c r="T15" s="383"/>
      <c r="U15" s="1183"/>
      <c r="V15" s="1183"/>
      <c r="W15" s="617"/>
      <c r="X15" s="1183"/>
      <c r="Y15" s="377"/>
      <c r="Z15" s="371" t="e">
        <f>+#REF!</f>
        <v>#REF!</v>
      </c>
      <c r="AA15" s="371" t="e">
        <f>+#REF!</f>
        <v>#REF!</v>
      </c>
      <c r="AB15" s="158" t="e">
        <f>+#REF!</f>
        <v>#REF!</v>
      </c>
      <c r="AC15" s="149" t="e">
        <f>+#REF!</f>
        <v>#REF!</v>
      </c>
      <c r="AD15" s="149"/>
      <c r="AE15" s="149"/>
      <c r="AF15" s="151"/>
      <c r="AG15" s="157"/>
      <c r="AH15" s="1295"/>
      <c r="AI15" s="1241"/>
      <c r="AJ15" s="1183"/>
      <c r="AK15" s="1183"/>
      <c r="AL15" s="377"/>
    </row>
    <row r="16" spans="1:51" ht="56.25" customHeight="1" x14ac:dyDescent="0.25">
      <c r="A16" s="1194"/>
      <c r="B16" s="1194"/>
      <c r="C16" s="1194"/>
      <c r="D16" s="1194"/>
      <c r="E16" s="1236"/>
      <c r="F16" s="1184"/>
      <c r="G16" s="1239"/>
      <c r="H16" s="1184"/>
      <c r="I16" s="1184"/>
      <c r="J16" s="1184"/>
      <c r="K16" s="1198"/>
      <c r="L16" s="1245"/>
      <c r="M16" s="1245"/>
      <c r="N16" s="1245"/>
      <c r="O16" s="1246"/>
      <c r="P16" s="646"/>
      <c r="Q16" s="625"/>
      <c r="R16" s="625"/>
      <c r="S16" s="1465"/>
      <c r="T16" s="383"/>
      <c r="U16" s="1184"/>
      <c r="V16" s="1184"/>
      <c r="W16" s="620"/>
      <c r="X16" s="1184"/>
      <c r="Y16" s="377"/>
      <c r="Z16" s="371" t="e">
        <f>+#REF!</f>
        <v>#REF!</v>
      </c>
      <c r="AA16" s="371" t="e">
        <f>+#REF!</f>
        <v>#REF!</v>
      </c>
      <c r="AB16" s="158" t="e">
        <f>+#REF!</f>
        <v>#REF!</v>
      </c>
      <c r="AC16" s="149" t="e">
        <f>+#REF!</f>
        <v>#REF!</v>
      </c>
      <c r="AD16" s="149"/>
      <c r="AE16" s="149"/>
      <c r="AF16" s="151"/>
      <c r="AG16" s="157"/>
      <c r="AH16" s="1295"/>
      <c r="AI16" s="1242"/>
      <c r="AJ16" s="1184"/>
      <c r="AK16" s="1184"/>
      <c r="AL16" s="377"/>
    </row>
    <row r="17" spans="1:38" ht="75.75" customHeight="1" x14ac:dyDescent="0.25">
      <c r="A17" s="1194"/>
      <c r="B17" s="1194"/>
      <c r="C17" s="1194"/>
      <c r="D17" s="1194"/>
      <c r="E17" s="1194"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95"/>
      <c r="AI17" s="107">
        <v>100000000</v>
      </c>
      <c r="AJ17" s="2" t="s">
        <v>3104</v>
      </c>
      <c r="AK17" s="2">
        <v>111</v>
      </c>
      <c r="AL17" s="104"/>
    </row>
    <row r="18" spans="1:38" ht="68.25" customHeight="1" x14ac:dyDescent="0.25">
      <c r="A18" s="1194"/>
      <c r="B18" s="1194"/>
      <c r="C18" s="1194"/>
      <c r="D18" s="1194"/>
      <c r="E18" s="1194"/>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95"/>
      <c r="AI18" s="107">
        <v>165000000</v>
      </c>
      <c r="AJ18" s="2" t="s">
        <v>3285</v>
      </c>
      <c r="AK18" s="2">
        <v>1</v>
      </c>
      <c r="AL18" s="104"/>
    </row>
    <row r="19" spans="1:38" ht="84.75" customHeight="1" x14ac:dyDescent="0.25">
      <c r="A19" s="1194"/>
      <c r="B19" s="1194"/>
      <c r="C19" s="1194"/>
      <c r="D19" s="1194"/>
      <c r="E19" s="1194"/>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95"/>
      <c r="AI19" s="113">
        <v>25000000</v>
      </c>
      <c r="AJ19" s="111" t="s">
        <v>3286</v>
      </c>
      <c r="AK19" s="111">
        <v>5</v>
      </c>
      <c r="AL19" s="114">
        <v>0</v>
      </c>
    </row>
    <row r="20" spans="1:38" ht="68.25" hidden="1" customHeight="1" x14ac:dyDescent="0.25">
      <c r="A20" s="1194"/>
      <c r="B20" s="1194"/>
      <c r="C20" s="1194"/>
      <c r="D20" s="1194"/>
      <c r="E20" s="1194"/>
      <c r="F20" s="325" t="s">
        <v>3198</v>
      </c>
      <c r="G20" s="1247"/>
      <c r="H20" s="1248"/>
      <c r="I20" s="1248"/>
      <c r="J20" s="1248"/>
      <c r="K20" s="1249"/>
      <c r="L20" s="1249"/>
      <c r="M20" s="1249"/>
      <c r="N20" s="1249"/>
      <c r="O20" s="1250"/>
      <c r="P20" s="649"/>
      <c r="Q20" s="626"/>
      <c r="R20" s="626"/>
      <c r="S20" s="1293"/>
      <c r="T20" s="1293"/>
      <c r="U20" s="1293"/>
      <c r="V20" s="1293"/>
      <c r="W20" s="1293"/>
      <c r="X20" s="1293"/>
      <c r="Y20" s="223"/>
      <c r="Z20" s="111" t="s">
        <v>3417</v>
      </c>
      <c r="AA20" s="159" t="e">
        <f>+#REF!</f>
        <v>#REF!</v>
      </c>
      <c r="AB20" s="158" t="e">
        <f>+#REF!</f>
        <v>#REF!</v>
      </c>
      <c r="AC20" s="149">
        <v>13905000</v>
      </c>
      <c r="AD20" s="149"/>
      <c r="AE20" s="149"/>
      <c r="AF20" s="151">
        <v>520</v>
      </c>
      <c r="AG20" s="285"/>
      <c r="AH20" s="1296"/>
      <c r="AI20" s="1292"/>
      <c r="AJ20" s="1293"/>
      <c r="AK20" s="1293"/>
      <c r="AL20" s="223"/>
    </row>
    <row r="21" spans="1:38" ht="30.75" customHeight="1" x14ac:dyDescent="0.25">
      <c r="A21" s="1194" t="s">
        <v>3406</v>
      </c>
      <c r="B21" s="1194"/>
      <c r="C21" s="1194"/>
      <c r="D21" s="1194"/>
      <c r="E21" s="1194"/>
      <c r="F21" s="1194"/>
      <c r="G21" s="380">
        <f>SUM(G11:G19)</f>
        <v>285000000</v>
      </c>
      <c r="H21" s="1233"/>
      <c r="I21" s="1248"/>
      <c r="J21" s="1248"/>
      <c r="K21" s="1233"/>
      <c r="L21" s="1248"/>
      <c r="M21" s="380">
        <f>SUM(M11:M19)</f>
        <v>229873287</v>
      </c>
      <c r="N21" s="380">
        <f>SUM(N11:N19)</f>
        <v>126146583</v>
      </c>
      <c r="O21" s="267"/>
      <c r="P21" s="650"/>
      <c r="Q21" s="267"/>
      <c r="R21" s="267"/>
      <c r="S21" s="644">
        <f>SUM(S12:S19)</f>
        <v>305000000</v>
      </c>
      <c r="T21" s="380">
        <f>SUM(T11:T19)</f>
        <v>305000000</v>
      </c>
      <c r="U21" s="1233"/>
      <c r="V21" s="1248"/>
      <c r="W21" s="1248"/>
      <c r="X21" s="1248"/>
      <c r="Y21" s="1266"/>
      <c r="Z21" s="1233"/>
      <c r="AA21" s="1248"/>
      <c r="AB21" s="133" t="e">
        <f>SUM(AB12:AB20)</f>
        <v>#REF!</v>
      </c>
      <c r="AC21" s="133" t="e">
        <f>SUM(AC12:AC20)</f>
        <v>#REF!</v>
      </c>
      <c r="AD21" s="133"/>
      <c r="AE21" s="216"/>
      <c r="AF21" s="1233"/>
      <c r="AG21" s="1248"/>
      <c r="AH21" s="1266"/>
      <c r="AI21" s="380">
        <f>SUM(AI12:AI19)</f>
        <v>305000000</v>
      </c>
      <c r="AJ21" s="1233"/>
      <c r="AK21" s="1248"/>
      <c r="AL21" s="1266"/>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183" t="s">
        <v>2923</v>
      </c>
      <c r="B23" s="1183" t="s">
        <v>3162</v>
      </c>
      <c r="C23" s="1183" t="s">
        <v>2925</v>
      </c>
      <c r="D23" s="1183" t="s">
        <v>3163</v>
      </c>
      <c r="E23" s="1183" t="s">
        <v>2927</v>
      </c>
      <c r="F23" s="1183"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51" t="s">
        <v>3351</v>
      </c>
    </row>
    <row r="24" spans="1:38" ht="57" customHeight="1" x14ac:dyDescent="0.25">
      <c r="A24" s="1183"/>
      <c r="B24" s="1183"/>
      <c r="C24" s="1183"/>
      <c r="D24" s="1183"/>
      <c r="E24" s="1184"/>
      <c r="F24" s="1184"/>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52"/>
    </row>
    <row r="25" spans="1:38" ht="57" customHeight="1" x14ac:dyDescent="0.25">
      <c r="A25" s="1183"/>
      <c r="B25" s="1183"/>
      <c r="C25" s="1183"/>
      <c r="D25" s="1183"/>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53"/>
    </row>
    <row r="26" spans="1:38" ht="57" customHeight="1" x14ac:dyDescent="0.25">
      <c r="A26" s="1184"/>
      <c r="B26" s="1184"/>
      <c r="C26" s="1184"/>
      <c r="D26" s="1184"/>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27" t="s">
        <v>2923</v>
      </c>
      <c r="B27" s="1227" t="s">
        <v>3162</v>
      </c>
      <c r="C27" s="1227" t="s">
        <v>3003</v>
      </c>
      <c r="D27" s="1227"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183"/>
      <c r="B28" s="1183"/>
      <c r="C28" s="1183"/>
      <c r="D28" s="1183"/>
      <c r="E28" s="1227" t="s">
        <v>3018</v>
      </c>
      <c r="F28" s="1227"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51" t="s">
        <v>3351</v>
      </c>
    </row>
    <row r="29" spans="1:38" ht="63.75" x14ac:dyDescent="0.25">
      <c r="A29" s="1183"/>
      <c r="B29" s="1183"/>
      <c r="C29" s="1183"/>
      <c r="D29" s="1183"/>
      <c r="E29" s="1183"/>
      <c r="F29" s="1183"/>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53"/>
    </row>
    <row r="30" spans="1:38" ht="63.75" x14ac:dyDescent="0.25">
      <c r="A30" s="1183"/>
      <c r="B30" s="1183"/>
      <c r="C30" s="1183"/>
      <c r="D30" s="1183"/>
      <c r="E30" s="1184"/>
      <c r="F30" s="1184"/>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183"/>
      <c r="B31" s="1183"/>
      <c r="C31" s="1183"/>
      <c r="D31" s="1183"/>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184"/>
      <c r="B32" s="1184"/>
      <c r="C32" s="1184"/>
      <c r="D32" s="1184"/>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27" t="s">
        <v>2923</v>
      </c>
      <c r="B33" s="1254" t="s">
        <v>3162</v>
      </c>
      <c r="C33" s="1227" t="s">
        <v>2943</v>
      </c>
      <c r="D33" s="1254" t="s">
        <v>3170</v>
      </c>
      <c r="E33" s="1227" t="s">
        <v>2961</v>
      </c>
      <c r="F33" s="1254" t="s">
        <v>3177</v>
      </c>
      <c r="G33" s="1240">
        <v>900000000</v>
      </c>
      <c r="H33" s="1194" t="s">
        <v>2964</v>
      </c>
      <c r="I33" s="1194" t="s">
        <v>3221</v>
      </c>
      <c r="J33" s="1194">
        <v>9</v>
      </c>
      <c r="K33" s="2" t="s">
        <v>134</v>
      </c>
      <c r="L33" s="154" t="s">
        <v>129</v>
      </c>
      <c r="M33" s="113">
        <v>34000000</v>
      </c>
      <c r="N33" s="113">
        <v>27947548</v>
      </c>
      <c r="O33" s="359" t="s">
        <v>3435</v>
      </c>
      <c r="P33" s="645"/>
      <c r="Q33" s="624"/>
      <c r="R33" s="624"/>
      <c r="S33" s="1257">
        <v>900000000</v>
      </c>
      <c r="T33" s="1260">
        <v>900000000</v>
      </c>
      <c r="U33" s="1194" t="s">
        <v>2964</v>
      </c>
      <c r="V33" s="1194" t="s">
        <v>3221</v>
      </c>
      <c r="W33" s="611"/>
      <c r="X33" s="1194">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183"/>
      <c r="B34" s="1255"/>
      <c r="C34" s="1183"/>
      <c r="D34" s="1255"/>
      <c r="E34" s="1183"/>
      <c r="F34" s="1255"/>
      <c r="G34" s="1241"/>
      <c r="H34" s="1194"/>
      <c r="I34" s="1194"/>
      <c r="J34" s="1194"/>
      <c r="K34" s="2" t="s">
        <v>163</v>
      </c>
      <c r="L34" s="154" t="s">
        <v>158</v>
      </c>
      <c r="M34" s="113">
        <v>0</v>
      </c>
      <c r="N34" s="113">
        <v>0</v>
      </c>
      <c r="O34" s="359">
        <v>0</v>
      </c>
      <c r="P34" s="645"/>
      <c r="Q34" s="624"/>
      <c r="R34" s="624"/>
      <c r="S34" s="1258"/>
      <c r="T34" s="1261"/>
      <c r="U34" s="1194"/>
      <c r="V34" s="1194"/>
      <c r="W34" s="611"/>
      <c r="X34" s="1194"/>
      <c r="Y34" s="376"/>
      <c r="Z34" s="2" t="s">
        <v>163</v>
      </c>
      <c r="AA34" s="154" t="s">
        <v>158</v>
      </c>
      <c r="AB34" s="167" t="e">
        <f>+#REF!</f>
        <v>#REF!</v>
      </c>
      <c r="AC34" s="149" t="e">
        <f>+#REF!</f>
        <v>#REF!</v>
      </c>
      <c r="AD34" s="149"/>
      <c r="AE34" s="149"/>
      <c r="AF34" s="151">
        <v>310</v>
      </c>
      <c r="AG34" s="157" t="e">
        <f>+#REF!-#REF!</f>
        <v>#REF!</v>
      </c>
      <c r="AH34" s="355" t="s">
        <v>3355</v>
      </c>
    </row>
    <row r="35" spans="1:34" ht="51" x14ac:dyDescent="0.25">
      <c r="A35" s="1183"/>
      <c r="B35" s="1255"/>
      <c r="C35" s="1183"/>
      <c r="D35" s="1255"/>
      <c r="E35" s="1183"/>
      <c r="F35" s="1255"/>
      <c r="G35" s="1241"/>
      <c r="H35" s="1194"/>
      <c r="I35" s="1194"/>
      <c r="J35" s="1194"/>
      <c r="K35" s="2" t="s">
        <v>153</v>
      </c>
      <c r="L35" s="154" t="s">
        <v>148</v>
      </c>
      <c r="M35" s="113">
        <v>42935553</v>
      </c>
      <c r="N35" s="113">
        <v>38179008</v>
      </c>
      <c r="O35" s="359" t="s">
        <v>3436</v>
      </c>
      <c r="P35" s="645"/>
      <c r="Q35" s="624"/>
      <c r="R35" s="624"/>
      <c r="S35" s="1258"/>
      <c r="T35" s="1261"/>
      <c r="U35" s="1194"/>
      <c r="V35" s="1194"/>
      <c r="W35" s="611"/>
      <c r="X35" s="1194"/>
      <c r="Y35" s="376"/>
      <c r="Z35" s="2" t="s">
        <v>153</v>
      </c>
      <c r="AA35" s="154" t="s">
        <v>148</v>
      </c>
      <c r="AB35" s="167" t="e">
        <f>+#REF!</f>
        <v>#REF!</v>
      </c>
      <c r="AC35" s="149" t="e">
        <f>+#REF!</f>
        <v>#REF!</v>
      </c>
      <c r="AD35" s="149"/>
      <c r="AE35" s="149"/>
      <c r="AF35" s="151">
        <v>310</v>
      </c>
      <c r="AG35" s="157" t="e">
        <f>+#REF!-#REF!</f>
        <v>#REF!</v>
      </c>
      <c r="AH35" s="355" t="s">
        <v>3355</v>
      </c>
    </row>
    <row r="36" spans="1:34" ht="38.25" x14ac:dyDescent="0.25">
      <c r="A36" s="1183"/>
      <c r="B36" s="1255"/>
      <c r="C36" s="1183"/>
      <c r="D36" s="1255"/>
      <c r="E36" s="1183"/>
      <c r="F36" s="1255"/>
      <c r="G36" s="1241"/>
      <c r="H36" s="1194"/>
      <c r="I36" s="1194"/>
      <c r="J36" s="1194"/>
      <c r="K36" s="2" t="s">
        <v>141</v>
      </c>
      <c r="L36" s="154" t="s">
        <v>136</v>
      </c>
      <c r="M36" s="113">
        <v>0</v>
      </c>
      <c r="N36" s="113">
        <v>0</v>
      </c>
      <c r="O36" s="359">
        <v>0</v>
      </c>
      <c r="P36" s="645"/>
      <c r="Q36" s="624"/>
      <c r="R36" s="624"/>
      <c r="S36" s="1258"/>
      <c r="T36" s="1261"/>
      <c r="U36" s="1194"/>
      <c r="V36" s="1194"/>
      <c r="W36" s="611"/>
      <c r="X36" s="1194"/>
      <c r="Y36" s="376"/>
      <c r="Z36" s="2" t="s">
        <v>141</v>
      </c>
      <c r="AA36" s="154" t="s">
        <v>136</v>
      </c>
      <c r="AB36" s="167" t="e">
        <f>+#REF!</f>
        <v>#REF!</v>
      </c>
      <c r="AC36" s="149" t="e">
        <f>+#REF!</f>
        <v>#REF!</v>
      </c>
      <c r="AD36" s="149"/>
      <c r="AE36" s="149"/>
      <c r="AF36" s="151">
        <v>310</v>
      </c>
      <c r="AG36" s="157" t="e">
        <f>+#REF!-#REF!</f>
        <v>#REF!</v>
      </c>
      <c r="AH36" s="355" t="s">
        <v>3355</v>
      </c>
    </row>
    <row r="37" spans="1:34" ht="38.25" x14ac:dyDescent="0.25">
      <c r="A37" s="1183"/>
      <c r="B37" s="1255"/>
      <c r="C37" s="1183"/>
      <c r="D37" s="1255"/>
      <c r="E37" s="1183"/>
      <c r="F37" s="1255"/>
      <c r="G37" s="1241"/>
      <c r="H37" s="1194"/>
      <c r="I37" s="1194"/>
      <c r="J37" s="1194"/>
      <c r="K37" s="2" t="s">
        <v>171</v>
      </c>
      <c r="L37" s="154" t="s">
        <v>3296</v>
      </c>
      <c r="M37" s="113">
        <v>30000000</v>
      </c>
      <c r="N37" s="113">
        <v>29998560</v>
      </c>
      <c r="O37" s="359" t="s">
        <v>3437</v>
      </c>
      <c r="P37" s="645"/>
      <c r="Q37" s="624"/>
      <c r="R37" s="624"/>
      <c r="S37" s="1258"/>
      <c r="T37" s="1261"/>
      <c r="U37" s="1194"/>
      <c r="V37" s="1194"/>
      <c r="W37" s="611"/>
      <c r="X37" s="1194"/>
      <c r="Y37" s="376"/>
      <c r="Z37" s="2" t="s">
        <v>171</v>
      </c>
      <c r="AA37" s="154" t="s">
        <v>3296</v>
      </c>
      <c r="AB37" s="167" t="e">
        <f>+#REF!</f>
        <v>#REF!</v>
      </c>
      <c r="AC37" s="149" t="e">
        <f>+#REF!</f>
        <v>#REF!</v>
      </c>
      <c r="AD37" s="149"/>
      <c r="AE37" s="149"/>
      <c r="AF37" s="151">
        <v>310</v>
      </c>
      <c r="AG37" s="157" t="e">
        <f>+#REF!-#REF!</f>
        <v>#REF!</v>
      </c>
      <c r="AH37" s="355" t="s">
        <v>3355</v>
      </c>
    </row>
    <row r="38" spans="1:34" ht="25.5" x14ac:dyDescent="0.25">
      <c r="A38" s="1183"/>
      <c r="B38" s="1255"/>
      <c r="C38" s="1183"/>
      <c r="D38" s="1255"/>
      <c r="E38" s="1183"/>
      <c r="F38" s="1255"/>
      <c r="G38" s="1241"/>
      <c r="H38" s="1194"/>
      <c r="I38" s="1194"/>
      <c r="J38" s="1194"/>
      <c r="K38" s="2" t="s">
        <v>179</v>
      </c>
      <c r="L38" s="154" t="s">
        <v>174</v>
      </c>
      <c r="M38" s="113">
        <v>37376721</v>
      </c>
      <c r="N38" s="113">
        <v>37376721</v>
      </c>
      <c r="O38" s="359" t="s">
        <v>3438</v>
      </c>
      <c r="P38" s="645"/>
      <c r="Q38" s="624"/>
      <c r="R38" s="624"/>
      <c r="S38" s="1258"/>
      <c r="T38" s="1261"/>
      <c r="U38" s="1194"/>
      <c r="V38" s="1194"/>
      <c r="W38" s="611"/>
      <c r="X38" s="1194"/>
      <c r="Y38" s="376"/>
      <c r="Z38" s="2" t="s">
        <v>179</v>
      </c>
      <c r="AA38" s="154" t="s">
        <v>174</v>
      </c>
      <c r="AB38" s="167" t="e">
        <f>+#REF!</f>
        <v>#REF!</v>
      </c>
      <c r="AC38" s="149" t="e">
        <f>+#REF!</f>
        <v>#REF!</v>
      </c>
      <c r="AD38" s="149"/>
      <c r="AE38" s="149"/>
      <c r="AF38" s="151">
        <v>310</v>
      </c>
      <c r="AG38" s="157" t="e">
        <f>+#REF!-#REF!</f>
        <v>#REF!</v>
      </c>
      <c r="AH38" s="355" t="s">
        <v>3355</v>
      </c>
    </row>
    <row r="39" spans="1:34" ht="25.5" x14ac:dyDescent="0.25">
      <c r="A39" s="1183"/>
      <c r="B39" s="1255"/>
      <c r="C39" s="1183"/>
      <c r="D39" s="1255"/>
      <c r="E39" s="1183"/>
      <c r="F39" s="1255"/>
      <c r="G39" s="1256"/>
      <c r="H39" s="1194"/>
      <c r="I39" s="1194"/>
      <c r="J39" s="1194"/>
      <c r="K39" s="2" t="s">
        <v>187</v>
      </c>
      <c r="L39" s="154" t="s">
        <v>182</v>
      </c>
      <c r="M39" s="113">
        <v>0</v>
      </c>
      <c r="N39" s="113">
        <v>0</v>
      </c>
      <c r="O39" s="359">
        <v>0</v>
      </c>
      <c r="P39" s="645"/>
      <c r="Q39" s="624"/>
      <c r="R39" s="624"/>
      <c r="S39" s="1259"/>
      <c r="T39" s="1262"/>
      <c r="U39" s="1194"/>
      <c r="V39" s="1194"/>
      <c r="W39" s="611"/>
      <c r="X39" s="1194"/>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27" t="s">
        <v>2923</v>
      </c>
      <c r="B40" s="1227" t="s">
        <v>3162</v>
      </c>
      <c r="C40" s="1227" t="s">
        <v>2943</v>
      </c>
      <c r="D40" s="1227"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51" t="s">
        <v>3356</v>
      </c>
    </row>
    <row r="41" spans="1:34" ht="63.75" x14ac:dyDescent="0.25">
      <c r="A41" s="1183"/>
      <c r="B41" s="1183"/>
      <c r="C41" s="1183"/>
      <c r="D41" s="1183"/>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52"/>
    </row>
    <row r="42" spans="1:34" ht="64.5" customHeight="1" x14ac:dyDescent="0.25">
      <c r="A42" s="1184"/>
      <c r="B42" s="1184"/>
      <c r="C42" s="1184"/>
      <c r="D42" s="1184"/>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53"/>
    </row>
    <row r="43" spans="1:34" ht="40.5" customHeight="1" x14ac:dyDescent="0.25">
      <c r="A43" s="1227" t="s">
        <v>2923</v>
      </c>
      <c r="B43" s="1227" t="s">
        <v>3162</v>
      </c>
      <c r="C43" s="1227" t="s">
        <v>2943</v>
      </c>
      <c r="D43" s="1227" t="s">
        <v>3170</v>
      </c>
      <c r="E43" s="1227" t="s">
        <v>2988</v>
      </c>
      <c r="F43" s="1228" t="s">
        <v>3180</v>
      </c>
      <c r="G43" s="1195">
        <v>122000000</v>
      </c>
      <c r="H43" s="1194" t="s">
        <v>2990</v>
      </c>
      <c r="I43" s="1194" t="s">
        <v>3272</v>
      </c>
      <c r="J43" s="1194">
        <v>5</v>
      </c>
      <c r="K43" s="359" t="s">
        <v>391</v>
      </c>
      <c r="L43" s="331" t="s">
        <v>3181</v>
      </c>
      <c r="M43" s="380">
        <v>11261724</v>
      </c>
      <c r="N43" s="380">
        <v>11261724</v>
      </c>
      <c r="O43" s="359">
        <v>21</v>
      </c>
      <c r="P43" s="655"/>
      <c r="Q43" s="610"/>
      <c r="R43" s="610"/>
      <c r="S43" s="1466">
        <v>170000000</v>
      </c>
      <c r="T43" s="1267">
        <v>170000000</v>
      </c>
      <c r="U43" s="1194" t="s">
        <v>2990</v>
      </c>
      <c r="V43" s="1194" t="s">
        <v>3439</v>
      </c>
      <c r="W43" s="624"/>
      <c r="X43" s="1269">
        <v>5</v>
      </c>
      <c r="Y43" s="106">
        <v>0</v>
      </c>
      <c r="Z43" s="2" t="s">
        <v>391</v>
      </c>
      <c r="AA43" s="154" t="s">
        <v>3181</v>
      </c>
      <c r="AB43" s="167" t="e">
        <f>+#REF!</f>
        <v>#REF!</v>
      </c>
      <c r="AC43" s="149" t="e">
        <f>+#REF!</f>
        <v>#REF!</v>
      </c>
      <c r="AD43" s="149"/>
      <c r="AE43" s="149"/>
      <c r="AF43" s="151">
        <v>410</v>
      </c>
      <c r="AG43" s="157" t="e">
        <f>+#REF!-#REF!</f>
        <v>#REF!</v>
      </c>
      <c r="AH43" s="1263" t="s">
        <v>3350</v>
      </c>
    </row>
    <row r="44" spans="1:34" ht="40.5" customHeight="1" x14ac:dyDescent="0.25">
      <c r="A44" s="1183"/>
      <c r="B44" s="1183"/>
      <c r="C44" s="1183"/>
      <c r="D44" s="1183"/>
      <c r="E44" s="1183"/>
      <c r="F44" s="1197"/>
      <c r="G44" s="1195"/>
      <c r="H44" s="1194"/>
      <c r="I44" s="1194"/>
      <c r="J44" s="1194"/>
      <c r="K44" s="359" t="s">
        <v>379</v>
      </c>
      <c r="L44" s="331" t="s">
        <v>3237</v>
      </c>
      <c r="M44" s="380">
        <v>11750000</v>
      </c>
      <c r="N44" s="380">
        <v>0</v>
      </c>
      <c r="O44" s="359">
        <v>21</v>
      </c>
      <c r="P44" s="655"/>
      <c r="Q44" s="610"/>
      <c r="R44" s="610"/>
      <c r="S44" s="1466"/>
      <c r="T44" s="1268"/>
      <c r="U44" s="1194"/>
      <c r="V44" s="1194"/>
      <c r="W44" s="624"/>
      <c r="X44" s="1243"/>
      <c r="Y44" s="102"/>
      <c r="Z44" s="2" t="s">
        <v>379</v>
      </c>
      <c r="AA44" s="154" t="s">
        <v>3237</v>
      </c>
      <c r="AB44" s="167" t="e">
        <f>+#REF!</f>
        <v>#REF!</v>
      </c>
      <c r="AC44" s="149" t="e">
        <f>+#REF!</f>
        <v>#REF!</v>
      </c>
      <c r="AD44" s="149"/>
      <c r="AE44" s="149"/>
      <c r="AF44" s="151">
        <v>410</v>
      </c>
      <c r="AG44" s="157" t="e">
        <f>+#REF!-#REF!</f>
        <v>#REF!</v>
      </c>
      <c r="AH44" s="1264"/>
    </row>
    <row r="45" spans="1:34" ht="39" customHeight="1" x14ac:dyDescent="0.25">
      <c r="A45" s="1183"/>
      <c r="B45" s="1183"/>
      <c r="C45" s="1183"/>
      <c r="D45" s="1183"/>
      <c r="E45" s="1183"/>
      <c r="F45" s="1197"/>
      <c r="G45" s="1195"/>
      <c r="H45" s="1194"/>
      <c r="I45" s="1194"/>
      <c r="J45" s="1194"/>
      <c r="K45" s="359" t="s">
        <v>393</v>
      </c>
      <c r="L45" s="331" t="s">
        <v>394</v>
      </c>
      <c r="M45" s="380">
        <v>49500000</v>
      </c>
      <c r="N45" s="380">
        <v>40458993</v>
      </c>
      <c r="O45" s="359">
        <v>0</v>
      </c>
      <c r="P45" s="655"/>
      <c r="Q45" s="610"/>
      <c r="R45" s="610"/>
      <c r="S45" s="1466"/>
      <c r="T45" s="1268"/>
      <c r="U45" s="1194"/>
      <c r="V45" s="1194"/>
      <c r="W45" s="624"/>
      <c r="X45" s="1243"/>
      <c r="Y45" s="102"/>
      <c r="Z45" s="2" t="s">
        <v>393</v>
      </c>
      <c r="AA45" s="154" t="s">
        <v>394</v>
      </c>
      <c r="AB45" s="167" t="e">
        <f>+#REF!</f>
        <v>#REF!</v>
      </c>
      <c r="AC45" s="149" t="e">
        <f>+#REF!</f>
        <v>#REF!</v>
      </c>
      <c r="AD45" s="149"/>
      <c r="AE45" s="149"/>
      <c r="AF45" s="151">
        <v>410</v>
      </c>
      <c r="AG45" s="157" t="e">
        <f>+#REF!-#REF!</f>
        <v>#REF!</v>
      </c>
      <c r="AH45" s="1265"/>
    </row>
    <row r="46" spans="1:34" ht="72" customHeight="1" x14ac:dyDescent="0.25">
      <c r="A46" s="1184"/>
      <c r="B46" s="1184"/>
      <c r="C46" s="1184"/>
      <c r="D46" s="1184"/>
      <c r="E46" s="1184"/>
      <c r="F46" s="1198"/>
      <c r="G46" s="1195"/>
      <c r="H46" s="1194"/>
      <c r="I46" s="1194"/>
      <c r="J46" s="1194"/>
      <c r="K46" s="359"/>
      <c r="L46" s="331"/>
      <c r="M46" s="380"/>
      <c r="N46" s="380"/>
      <c r="O46" s="359"/>
      <c r="P46" s="655"/>
      <c r="Q46" s="610"/>
      <c r="R46" s="610"/>
      <c r="S46" s="1466"/>
      <c r="T46" s="381"/>
      <c r="U46" s="1194"/>
      <c r="V46" s="1194"/>
      <c r="W46" s="624"/>
      <c r="X46" s="1243"/>
      <c r="Y46" s="102"/>
      <c r="Z46" s="2" t="s">
        <v>3423</v>
      </c>
      <c r="AA46" s="154" t="s">
        <v>3424</v>
      </c>
      <c r="AB46" s="167" t="e">
        <f>+#REF!</f>
        <v>#REF!</v>
      </c>
      <c r="AC46" s="149" t="e">
        <f>+#REF!</f>
        <v>#REF!</v>
      </c>
      <c r="AD46" s="149"/>
      <c r="AE46" s="149"/>
      <c r="AF46" s="151"/>
      <c r="AG46" s="157"/>
      <c r="AH46" s="357"/>
    </row>
    <row r="47" spans="1:34" ht="76.5" x14ac:dyDescent="0.25">
      <c r="A47" s="1227" t="s">
        <v>2923</v>
      </c>
      <c r="B47" s="1227" t="s">
        <v>3162</v>
      </c>
      <c r="C47" s="1227" t="s">
        <v>2943</v>
      </c>
      <c r="D47" s="1227"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184"/>
      <c r="B48" s="1184"/>
      <c r="C48" s="1184"/>
      <c r="D48" s="1184"/>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63"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264"/>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65"/>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194" t="s">
        <v>3407</v>
      </c>
      <c r="B54" s="1194"/>
      <c r="C54" s="1194"/>
      <c r="D54" s="1194"/>
      <c r="E54" s="1194"/>
      <c r="F54" s="1194"/>
      <c r="G54" s="380">
        <f>SUM(G23:G53)</f>
        <v>3023000000</v>
      </c>
      <c r="H54" s="1233"/>
      <c r="I54" s="1248"/>
      <c r="J54" s="1248"/>
      <c r="K54" s="1233"/>
      <c r="L54" s="1248"/>
      <c r="M54" s="380">
        <f>SUM(M23:M53)</f>
        <v>1367857632</v>
      </c>
      <c r="N54" s="380">
        <f>SUM(N23:N53)</f>
        <v>1056762905</v>
      </c>
      <c r="O54" s="267"/>
      <c r="P54" s="650"/>
      <c r="Q54" s="267"/>
      <c r="R54" s="267"/>
      <c r="S54" s="644">
        <f>SUM(S23:S53)</f>
        <v>3329000000</v>
      </c>
      <c r="T54" s="380">
        <f>SUM(T47:T53)</f>
        <v>1090000000</v>
      </c>
      <c r="U54" s="1233"/>
      <c r="V54" s="1248"/>
      <c r="W54" s="1248"/>
      <c r="X54" s="1248"/>
      <c r="Y54" s="1266"/>
      <c r="Z54" s="1233"/>
      <c r="AA54" s="1248"/>
      <c r="AB54" s="133" t="e">
        <f>SUM(AB23:AB53)</f>
        <v>#REF!</v>
      </c>
      <c r="AC54" s="133" t="e">
        <f>SUM(AC23:AC53)</f>
        <v>#REF!</v>
      </c>
      <c r="AD54" s="133"/>
      <c r="AE54" s="216"/>
      <c r="AF54" s="1233"/>
      <c r="AG54" s="1248"/>
      <c r="AH54" s="1266"/>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27" t="s">
        <v>2814</v>
      </c>
      <c r="B56" s="1254" t="s">
        <v>3138</v>
      </c>
      <c r="C56" s="1227" t="s">
        <v>2816</v>
      </c>
      <c r="D56" s="1254" t="s">
        <v>3140</v>
      </c>
      <c r="E56" s="1227" t="s">
        <v>2822</v>
      </c>
      <c r="F56" s="1254" t="s">
        <v>2823</v>
      </c>
      <c r="G56" s="1240">
        <v>50000000</v>
      </c>
      <c r="H56" s="1194" t="s">
        <v>2824</v>
      </c>
      <c r="I56" s="1194" t="s">
        <v>3451</v>
      </c>
      <c r="J56" s="1194">
        <v>0</v>
      </c>
      <c r="K56" s="109" t="s">
        <v>323</v>
      </c>
      <c r="L56" s="154" t="s">
        <v>3145</v>
      </c>
      <c r="M56" s="113">
        <v>18500000</v>
      </c>
      <c r="N56" s="113">
        <v>18500000</v>
      </c>
      <c r="O56" s="359"/>
      <c r="P56" s="645"/>
      <c r="Q56" s="624"/>
      <c r="R56" s="624"/>
      <c r="S56" s="1257">
        <v>100000000</v>
      </c>
      <c r="T56" s="1260">
        <v>100000000</v>
      </c>
      <c r="U56" s="1194" t="s">
        <v>2824</v>
      </c>
      <c r="V56" s="1194" t="s">
        <v>3141</v>
      </c>
      <c r="W56" s="611"/>
      <c r="X56" s="1194">
        <v>1</v>
      </c>
      <c r="Y56" s="1306">
        <v>0</v>
      </c>
      <c r="Z56" s="109" t="s">
        <v>323</v>
      </c>
      <c r="AA56" s="154" t="s">
        <v>3145</v>
      </c>
      <c r="AB56" s="158" t="e">
        <f>+#REF!</f>
        <v>#REF!</v>
      </c>
      <c r="AC56" s="149">
        <v>41065933</v>
      </c>
      <c r="AD56" s="149"/>
      <c r="AE56" s="149"/>
      <c r="AF56" s="151">
        <v>510</v>
      </c>
      <c r="AG56" s="157" t="e">
        <f>+#REF!-#REF!</f>
        <v>#REF!</v>
      </c>
      <c r="AH56" s="1308" t="s">
        <v>3348</v>
      </c>
    </row>
    <row r="57" spans="1:34" ht="63.75" x14ac:dyDescent="0.25">
      <c r="A57" s="1183"/>
      <c r="B57" s="1255"/>
      <c r="C57" s="1183"/>
      <c r="D57" s="1255"/>
      <c r="E57" s="1183"/>
      <c r="F57" s="1255"/>
      <c r="G57" s="1241"/>
      <c r="H57" s="1194"/>
      <c r="I57" s="1194"/>
      <c r="J57" s="1194"/>
      <c r="K57" s="109" t="s">
        <v>319</v>
      </c>
      <c r="L57" s="154" t="s">
        <v>3143</v>
      </c>
      <c r="M57" s="113">
        <v>5000000</v>
      </c>
      <c r="N57" s="113">
        <v>1090000</v>
      </c>
      <c r="O57" s="359"/>
      <c r="P57" s="645"/>
      <c r="Q57" s="624"/>
      <c r="R57" s="624"/>
      <c r="S57" s="1258"/>
      <c r="T57" s="1261"/>
      <c r="U57" s="1194"/>
      <c r="V57" s="1194"/>
      <c r="W57" s="611"/>
      <c r="X57" s="1194"/>
      <c r="Y57" s="1307"/>
      <c r="Z57" s="109" t="s">
        <v>319</v>
      </c>
      <c r="AA57" s="154" t="s">
        <v>3143</v>
      </c>
      <c r="AB57" s="158" t="e">
        <f>+#REF!</f>
        <v>#REF!</v>
      </c>
      <c r="AC57" s="149" t="e">
        <f>+#REF!</f>
        <v>#REF!</v>
      </c>
      <c r="AD57" s="149"/>
      <c r="AE57" s="149"/>
      <c r="AF57" s="151">
        <v>510</v>
      </c>
      <c r="AG57" s="157" t="e">
        <f>+#REF!-#REF!</f>
        <v>#REF!</v>
      </c>
      <c r="AH57" s="1308"/>
    </row>
    <row r="58" spans="1:34" ht="76.5" x14ac:dyDescent="0.25">
      <c r="A58" s="1183"/>
      <c r="B58" s="1255"/>
      <c r="C58" s="1183"/>
      <c r="D58" s="1255"/>
      <c r="E58" s="1183"/>
      <c r="F58" s="1255"/>
      <c r="G58" s="1256"/>
      <c r="H58" s="1194"/>
      <c r="I58" s="1194"/>
      <c r="J58" s="1194"/>
      <c r="K58" s="109" t="s">
        <v>321</v>
      </c>
      <c r="L58" s="154" t="s">
        <v>3144</v>
      </c>
      <c r="M58" s="113">
        <v>1500000</v>
      </c>
      <c r="N58" s="113">
        <v>0</v>
      </c>
      <c r="O58" s="359"/>
      <c r="P58" s="645"/>
      <c r="Q58" s="624"/>
      <c r="R58" s="624"/>
      <c r="S58" s="1259"/>
      <c r="T58" s="1262"/>
      <c r="U58" s="1194"/>
      <c r="V58" s="1194"/>
      <c r="W58" s="611"/>
      <c r="X58" s="1194"/>
      <c r="Y58" s="1307"/>
      <c r="Z58" s="109" t="s">
        <v>321</v>
      </c>
      <c r="AA58" s="154" t="s">
        <v>3144</v>
      </c>
      <c r="AB58" s="158" t="e">
        <f>+#REF!</f>
        <v>#REF!</v>
      </c>
      <c r="AC58" s="149" t="e">
        <f>+#REF!</f>
        <v>#REF!</v>
      </c>
      <c r="AD58" s="149"/>
      <c r="AE58" s="149"/>
      <c r="AF58" s="151">
        <v>510</v>
      </c>
      <c r="AG58" s="157" t="e">
        <f>+#REF!-#REF!</f>
        <v>#REF!</v>
      </c>
      <c r="AH58" s="1308"/>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27" t="s">
        <v>2814</v>
      </c>
      <c r="B60" s="1254" t="s">
        <v>3138</v>
      </c>
      <c r="C60" s="1227" t="s">
        <v>3030</v>
      </c>
      <c r="D60" s="1254" t="s">
        <v>3259</v>
      </c>
      <c r="E60" s="1227" t="s">
        <v>3032</v>
      </c>
      <c r="F60" s="1254" t="s">
        <v>3340</v>
      </c>
      <c r="G60" s="1240">
        <v>4600000000</v>
      </c>
      <c r="H60" s="1194" t="s">
        <v>3035</v>
      </c>
      <c r="I60" s="1194" t="s">
        <v>3036</v>
      </c>
      <c r="J60" s="359" t="s">
        <v>3454</v>
      </c>
      <c r="K60" s="109" t="s">
        <v>232</v>
      </c>
      <c r="L60" s="154" t="s">
        <v>3297</v>
      </c>
      <c r="M60" s="113">
        <v>4830889623</v>
      </c>
      <c r="N60" s="113">
        <v>113437936</v>
      </c>
      <c r="O60" s="359"/>
      <c r="P60" s="645"/>
      <c r="Q60" s="624"/>
      <c r="R60" s="624"/>
      <c r="S60" s="1257">
        <v>3500000000</v>
      </c>
      <c r="T60" s="1260">
        <v>3500000000</v>
      </c>
      <c r="U60" s="1194" t="s">
        <v>3035</v>
      </c>
      <c r="V60" s="1194" t="s">
        <v>3036</v>
      </c>
      <c r="W60" s="611"/>
      <c r="X60" s="359" t="s">
        <v>3457</v>
      </c>
      <c r="Y60" s="106">
        <v>0</v>
      </c>
      <c r="Z60" s="2" t="s">
        <v>232</v>
      </c>
      <c r="AA60" s="154" t="s">
        <v>3297</v>
      </c>
      <c r="AB60" s="158" t="e">
        <f>+#REF!</f>
        <v>#REF!</v>
      </c>
      <c r="AC60" s="149">
        <v>2919730921</v>
      </c>
      <c r="AD60" s="149"/>
      <c r="AE60" s="149"/>
      <c r="AF60" s="151">
        <v>111</v>
      </c>
      <c r="AG60" s="157" t="e">
        <f>+#REF!-#REF!</f>
        <v>#REF!</v>
      </c>
      <c r="AH60" s="1270" t="s">
        <v>3359</v>
      </c>
    </row>
    <row r="61" spans="1:34" ht="25.5" x14ac:dyDescent="0.25">
      <c r="A61" s="1183"/>
      <c r="B61" s="1255"/>
      <c r="C61" s="1183"/>
      <c r="D61" s="1255"/>
      <c r="E61" s="1183"/>
      <c r="F61" s="1255"/>
      <c r="G61" s="1241"/>
      <c r="H61" s="1194"/>
      <c r="I61" s="1194"/>
      <c r="J61" s="359" t="s">
        <v>3455</v>
      </c>
      <c r="K61" s="109" t="s">
        <v>230</v>
      </c>
      <c r="L61" s="154" t="s">
        <v>2811</v>
      </c>
      <c r="M61" s="113">
        <v>618650000</v>
      </c>
      <c r="N61" s="113">
        <v>358328172</v>
      </c>
      <c r="O61" s="359"/>
      <c r="P61" s="645"/>
      <c r="Q61" s="624"/>
      <c r="R61" s="624"/>
      <c r="S61" s="1258"/>
      <c r="T61" s="1261"/>
      <c r="U61" s="1194"/>
      <c r="V61" s="1194"/>
      <c r="W61" s="611"/>
      <c r="X61" s="359" t="s">
        <v>3458</v>
      </c>
      <c r="Y61" s="376"/>
      <c r="Z61" s="2" t="s">
        <v>230</v>
      </c>
      <c r="AA61" s="154" t="s">
        <v>2811</v>
      </c>
      <c r="AB61" s="158" t="e">
        <f>+#REF!</f>
        <v>#REF!</v>
      </c>
      <c r="AC61" s="149">
        <v>420908963</v>
      </c>
      <c r="AD61" s="149"/>
      <c r="AE61" s="149"/>
      <c r="AF61" s="151">
        <v>111</v>
      </c>
      <c r="AG61" s="157" t="e">
        <f>+#REF!-#REF!</f>
        <v>#REF!</v>
      </c>
      <c r="AH61" s="1270"/>
    </row>
    <row r="62" spans="1:34" ht="39" customHeight="1" x14ac:dyDescent="0.25">
      <c r="A62" s="1183"/>
      <c r="B62" s="1255"/>
      <c r="C62" s="1183"/>
      <c r="D62" s="1255"/>
      <c r="E62" s="1183"/>
      <c r="F62" s="1255"/>
      <c r="G62" s="1256"/>
      <c r="H62" s="1191"/>
      <c r="I62" s="1191"/>
      <c r="J62" s="359" t="s">
        <v>3456</v>
      </c>
      <c r="K62" s="247" t="s">
        <v>234</v>
      </c>
      <c r="L62" s="154" t="s">
        <v>3298</v>
      </c>
      <c r="M62" s="113"/>
      <c r="N62" s="113"/>
      <c r="O62" s="359"/>
      <c r="P62" s="645"/>
      <c r="Q62" s="624"/>
      <c r="R62" s="624"/>
      <c r="S62" s="1259"/>
      <c r="T62" s="1262"/>
      <c r="U62" s="1191"/>
      <c r="V62" s="1191"/>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194" t="s">
        <v>2814</v>
      </c>
      <c r="B63" s="1194" t="s">
        <v>3138</v>
      </c>
      <c r="C63" s="1194" t="s">
        <v>3030</v>
      </c>
      <c r="D63" s="1194" t="s">
        <v>3259</v>
      </c>
      <c r="E63" s="1194" t="s">
        <v>3032</v>
      </c>
      <c r="F63" s="1194" t="s">
        <v>3188</v>
      </c>
      <c r="G63" s="1195">
        <v>300000000</v>
      </c>
      <c r="H63" s="1194" t="s">
        <v>3042</v>
      </c>
      <c r="I63" s="1194" t="s">
        <v>3226</v>
      </c>
      <c r="J63" s="1194" t="s">
        <v>3459</v>
      </c>
      <c r="K63" s="359" t="s">
        <v>91</v>
      </c>
      <c r="L63" s="174" t="s">
        <v>3192</v>
      </c>
      <c r="M63" s="113">
        <v>67619227</v>
      </c>
      <c r="N63" s="113">
        <v>62537481</v>
      </c>
      <c r="O63" s="359"/>
      <c r="P63" s="659"/>
      <c r="Q63" s="671"/>
      <c r="R63" s="671"/>
      <c r="S63" s="1467">
        <v>680000000</v>
      </c>
      <c r="T63" s="1195">
        <v>680000000</v>
      </c>
      <c r="U63" s="1194" t="s">
        <v>3042</v>
      </c>
      <c r="V63" s="1194" t="s">
        <v>3226</v>
      </c>
      <c r="W63" s="611"/>
      <c r="X63" s="1194" t="s">
        <v>3460</v>
      </c>
      <c r="Y63" s="4"/>
      <c r="Z63" s="359" t="s">
        <v>91</v>
      </c>
      <c r="AA63" s="174" t="s">
        <v>3192</v>
      </c>
      <c r="AB63" s="158" t="e">
        <f>+#REF!</f>
        <v>#REF!</v>
      </c>
      <c r="AC63" s="149">
        <v>0</v>
      </c>
      <c r="AD63" s="149"/>
      <c r="AE63" s="149"/>
      <c r="AF63" s="151">
        <v>211</v>
      </c>
      <c r="AG63" s="157" t="e">
        <f>+#REF!-#REF!</f>
        <v>#REF!</v>
      </c>
      <c r="AH63" s="1263" t="s">
        <v>3360</v>
      </c>
    </row>
    <row r="64" spans="1:34" ht="49.5" customHeight="1" x14ac:dyDescent="0.25">
      <c r="A64" s="1194"/>
      <c r="B64" s="1194"/>
      <c r="C64" s="1194"/>
      <c r="D64" s="1194"/>
      <c r="E64" s="1194"/>
      <c r="F64" s="1194"/>
      <c r="G64" s="1195"/>
      <c r="H64" s="1194"/>
      <c r="I64" s="1194"/>
      <c r="J64" s="1194"/>
      <c r="K64" s="359" t="s">
        <v>93</v>
      </c>
      <c r="L64" s="174" t="s">
        <v>3189</v>
      </c>
      <c r="M64" s="113">
        <v>2057660</v>
      </c>
      <c r="N64" s="113">
        <v>1922700</v>
      </c>
      <c r="O64" s="359"/>
      <c r="P64" s="660"/>
      <c r="Q64" s="624"/>
      <c r="R64" s="624"/>
      <c r="S64" s="1468"/>
      <c r="T64" s="1195"/>
      <c r="U64" s="1194"/>
      <c r="V64" s="1194"/>
      <c r="W64" s="611"/>
      <c r="X64" s="1194"/>
      <c r="Y64" s="381">
        <v>0</v>
      </c>
      <c r="Z64" s="359" t="s">
        <v>93</v>
      </c>
      <c r="AA64" s="174" t="s">
        <v>3189</v>
      </c>
      <c r="AB64" s="158" t="e">
        <f>+#REF!</f>
        <v>#REF!</v>
      </c>
      <c r="AC64" s="149">
        <v>0</v>
      </c>
      <c r="AD64" s="149"/>
      <c r="AE64" s="149"/>
      <c r="AF64" s="151">
        <v>211</v>
      </c>
      <c r="AG64" s="157" t="e">
        <f>+#REF!-#REF!</f>
        <v>#REF!</v>
      </c>
      <c r="AH64" s="1264"/>
    </row>
    <row r="65" spans="1:34" ht="48.75" customHeight="1" x14ac:dyDescent="0.25">
      <c r="A65" s="1194"/>
      <c r="B65" s="1194"/>
      <c r="C65" s="1194"/>
      <c r="D65" s="1194"/>
      <c r="E65" s="1194"/>
      <c r="F65" s="1194"/>
      <c r="G65" s="1195"/>
      <c r="H65" s="1194"/>
      <c r="I65" s="1194"/>
      <c r="J65" s="1194"/>
      <c r="K65" s="359" t="s">
        <v>97</v>
      </c>
      <c r="L65" s="174" t="s">
        <v>3190</v>
      </c>
      <c r="M65" s="113">
        <v>27384250</v>
      </c>
      <c r="N65" s="113">
        <v>14840001</v>
      </c>
      <c r="O65" s="359"/>
      <c r="P65" s="660"/>
      <c r="Q65" s="624"/>
      <c r="R65" s="624"/>
      <c r="S65" s="1468"/>
      <c r="T65" s="1195"/>
      <c r="U65" s="1194"/>
      <c r="V65" s="1194"/>
      <c r="W65" s="611"/>
      <c r="X65" s="1194"/>
      <c r="Y65" s="128"/>
      <c r="Z65" s="359" t="s">
        <v>97</v>
      </c>
      <c r="AA65" s="174" t="s">
        <v>3190</v>
      </c>
      <c r="AB65" s="158" t="e">
        <f>+#REF!</f>
        <v>#REF!</v>
      </c>
      <c r="AC65" s="149">
        <v>0</v>
      </c>
      <c r="AD65" s="149"/>
      <c r="AE65" s="149"/>
      <c r="AF65" s="151">
        <v>211</v>
      </c>
      <c r="AG65" s="157" t="e">
        <f>+#REF!-#REF!</f>
        <v>#REF!</v>
      </c>
      <c r="AH65" s="1265"/>
    </row>
    <row r="66" spans="1:34" ht="50.25" customHeight="1" x14ac:dyDescent="0.25">
      <c r="A66" s="1194"/>
      <c r="B66" s="1194"/>
      <c r="C66" s="1194"/>
      <c r="D66" s="1194"/>
      <c r="E66" s="1194"/>
      <c r="F66" s="1194"/>
      <c r="G66" s="1195"/>
      <c r="H66" s="1194"/>
      <c r="I66" s="1194"/>
      <c r="J66" s="1194"/>
      <c r="K66" s="359" t="s">
        <v>95</v>
      </c>
      <c r="L66" s="174" t="s">
        <v>3191</v>
      </c>
      <c r="M66" s="113">
        <v>758380774</v>
      </c>
      <c r="N66" s="113">
        <v>526508834</v>
      </c>
      <c r="O66" s="359"/>
      <c r="P66" s="661"/>
      <c r="Q66" s="626"/>
      <c r="R66" s="626"/>
      <c r="S66" s="1469"/>
      <c r="T66" s="1195"/>
      <c r="U66" s="1194"/>
      <c r="V66" s="1194"/>
      <c r="W66" s="611"/>
      <c r="X66" s="1194"/>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194" t="s">
        <v>2814</v>
      </c>
      <c r="B67" s="1194" t="s">
        <v>3138</v>
      </c>
      <c r="C67" s="1194" t="s">
        <v>3030</v>
      </c>
      <c r="D67" s="1194" t="s">
        <v>3259</v>
      </c>
      <c r="E67" s="1194" t="s">
        <v>3032</v>
      </c>
      <c r="F67" s="1194" t="s">
        <v>3193</v>
      </c>
      <c r="G67" s="1195">
        <v>2300000000</v>
      </c>
      <c r="H67" s="1194" t="s">
        <v>3052</v>
      </c>
      <c r="I67" s="1194" t="s">
        <v>3227</v>
      </c>
      <c r="J67" s="1191" t="s">
        <v>3461</v>
      </c>
      <c r="K67" s="2" t="s">
        <v>299</v>
      </c>
      <c r="L67" s="154" t="s">
        <v>300</v>
      </c>
      <c r="M67" s="113"/>
      <c r="N67" s="113"/>
      <c r="O67" s="359"/>
      <c r="P67" s="655"/>
      <c r="Q67" s="610"/>
      <c r="R67" s="610"/>
      <c r="S67" s="1466">
        <v>2650000000</v>
      </c>
      <c r="T67" s="351">
        <v>2750000000</v>
      </c>
      <c r="U67" s="1194" t="s">
        <v>3052</v>
      </c>
      <c r="V67" s="1194" t="s">
        <v>3227</v>
      </c>
      <c r="W67" s="608"/>
      <c r="X67" s="1191"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194"/>
      <c r="B68" s="1194"/>
      <c r="C68" s="1194"/>
      <c r="D68" s="1194"/>
      <c r="E68" s="1194"/>
      <c r="F68" s="1194"/>
      <c r="G68" s="1195"/>
      <c r="H68" s="1194"/>
      <c r="I68" s="1194"/>
      <c r="J68" s="1192"/>
      <c r="K68" s="2"/>
      <c r="L68" s="154" t="s">
        <v>3452</v>
      </c>
      <c r="M68" s="113">
        <v>73635000</v>
      </c>
      <c r="N68" s="113">
        <v>11985910</v>
      </c>
      <c r="O68" s="359"/>
      <c r="P68" s="655"/>
      <c r="Q68" s="610"/>
      <c r="R68" s="610"/>
      <c r="S68" s="1466"/>
      <c r="T68" s="352"/>
      <c r="U68" s="1194"/>
      <c r="V68" s="1194"/>
      <c r="W68" s="609"/>
      <c r="X68" s="1192"/>
      <c r="Y68" s="376"/>
      <c r="Z68" s="2"/>
      <c r="AA68" s="154"/>
      <c r="AB68" s="158"/>
      <c r="AC68" s="149"/>
      <c r="AD68" s="149"/>
      <c r="AE68" s="149"/>
      <c r="AF68" s="151"/>
      <c r="AG68" s="157"/>
      <c r="AH68" s="355"/>
    </row>
    <row r="69" spans="1:34" ht="39.75" customHeight="1" x14ac:dyDescent="0.25">
      <c r="A69" s="1194"/>
      <c r="B69" s="1194"/>
      <c r="C69" s="1194"/>
      <c r="D69" s="1194"/>
      <c r="E69" s="1194"/>
      <c r="F69" s="1194"/>
      <c r="G69" s="1195"/>
      <c r="H69" s="1194"/>
      <c r="I69" s="1194"/>
      <c r="J69" s="1192"/>
      <c r="K69" s="2" t="s">
        <v>277</v>
      </c>
      <c r="L69" s="154" t="s">
        <v>3251</v>
      </c>
      <c r="M69" s="113"/>
      <c r="N69" s="113"/>
      <c r="O69" s="359"/>
      <c r="P69" s="655"/>
      <c r="Q69" s="610"/>
      <c r="R69" s="610"/>
      <c r="S69" s="1466"/>
      <c r="T69" s="352"/>
      <c r="U69" s="1194"/>
      <c r="V69" s="1194"/>
      <c r="W69" s="609"/>
      <c r="X69" s="1192"/>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194"/>
      <c r="B70" s="1194"/>
      <c r="C70" s="1194"/>
      <c r="D70" s="1194"/>
      <c r="E70" s="1194"/>
      <c r="F70" s="1194"/>
      <c r="G70" s="1195"/>
      <c r="H70" s="1194"/>
      <c r="I70" s="1194"/>
      <c r="J70" s="1192"/>
      <c r="K70" s="2" t="s">
        <v>180</v>
      </c>
      <c r="L70" s="154" t="s">
        <v>3247</v>
      </c>
      <c r="M70" s="113"/>
      <c r="N70" s="113"/>
      <c r="O70" s="359"/>
      <c r="P70" s="655"/>
      <c r="Q70" s="610"/>
      <c r="R70" s="610"/>
      <c r="S70" s="1466"/>
      <c r="T70" s="352"/>
      <c r="U70" s="1194"/>
      <c r="V70" s="1194"/>
      <c r="W70" s="609"/>
      <c r="X70" s="1192"/>
      <c r="Y70" s="376"/>
      <c r="Z70" s="2" t="s">
        <v>180</v>
      </c>
      <c r="AA70" s="154" t="s">
        <v>3247</v>
      </c>
      <c r="AB70" s="158" t="e">
        <f>+#REF!</f>
        <v>#REF!</v>
      </c>
      <c r="AC70" s="149">
        <v>0</v>
      </c>
      <c r="AD70" s="149"/>
      <c r="AE70" s="149"/>
      <c r="AF70" s="151">
        <v>211</v>
      </c>
      <c r="AG70" s="157" t="e">
        <f>+#REF!-#REF!</f>
        <v>#REF!</v>
      </c>
      <c r="AH70" s="355" t="s">
        <v>3362</v>
      </c>
    </row>
    <row r="71" spans="1:34" ht="25.5" x14ac:dyDescent="0.25">
      <c r="A71" s="1194"/>
      <c r="B71" s="1194"/>
      <c r="C71" s="1194"/>
      <c r="D71" s="1194"/>
      <c r="E71" s="1194"/>
      <c r="F71" s="1194"/>
      <c r="G71" s="1195"/>
      <c r="H71" s="1194"/>
      <c r="I71" s="1194"/>
      <c r="J71" s="1192"/>
      <c r="K71" s="2"/>
      <c r="L71" s="154" t="s">
        <v>3453</v>
      </c>
      <c r="M71" s="113">
        <v>25000000</v>
      </c>
      <c r="N71" s="113">
        <v>20100400</v>
      </c>
      <c r="O71" s="359"/>
      <c r="P71" s="655"/>
      <c r="Q71" s="610"/>
      <c r="R71" s="610"/>
      <c r="S71" s="1466"/>
      <c r="T71" s="352"/>
      <c r="U71" s="1194"/>
      <c r="V71" s="1194"/>
      <c r="W71" s="609"/>
      <c r="X71" s="1192"/>
      <c r="Y71" s="376"/>
      <c r="Z71" s="2"/>
      <c r="AA71" s="154"/>
      <c r="AB71" s="158"/>
      <c r="AC71" s="149"/>
      <c r="AD71" s="149"/>
      <c r="AE71" s="149"/>
      <c r="AF71" s="151"/>
      <c r="AG71" s="157"/>
      <c r="AH71" s="355"/>
    </row>
    <row r="72" spans="1:34" ht="40.5" customHeight="1" x14ac:dyDescent="0.25">
      <c r="A72" s="1194"/>
      <c r="B72" s="1194"/>
      <c r="C72" s="1194"/>
      <c r="D72" s="1194"/>
      <c r="E72" s="1194"/>
      <c r="F72" s="1194"/>
      <c r="G72" s="1195"/>
      <c r="H72" s="1194"/>
      <c r="I72" s="1194"/>
      <c r="J72" s="1192"/>
      <c r="K72" s="2" t="s">
        <v>284</v>
      </c>
      <c r="L72" s="154" t="s">
        <v>3255</v>
      </c>
      <c r="M72" s="113"/>
      <c r="N72" s="113"/>
      <c r="O72" s="359"/>
      <c r="P72" s="655"/>
      <c r="Q72" s="610"/>
      <c r="R72" s="610"/>
      <c r="S72" s="1466"/>
      <c r="T72" s="352"/>
      <c r="U72" s="1194"/>
      <c r="V72" s="1194"/>
      <c r="W72" s="609"/>
      <c r="X72" s="1192"/>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194"/>
      <c r="B73" s="1194"/>
      <c r="C73" s="1194"/>
      <c r="D73" s="1194"/>
      <c r="E73" s="1194"/>
      <c r="F73" s="1194"/>
      <c r="G73" s="1195"/>
      <c r="H73" s="1194"/>
      <c r="I73" s="1194"/>
      <c r="J73" s="1192"/>
      <c r="K73" s="2" t="s">
        <v>289</v>
      </c>
      <c r="L73" s="154" t="s">
        <v>3246</v>
      </c>
      <c r="M73" s="113">
        <v>174000000</v>
      </c>
      <c r="N73" s="113">
        <v>173638600</v>
      </c>
      <c r="O73" s="359"/>
      <c r="P73" s="655"/>
      <c r="Q73" s="610"/>
      <c r="R73" s="610"/>
      <c r="S73" s="1466"/>
      <c r="T73" s="352"/>
      <c r="U73" s="1194"/>
      <c r="V73" s="1194"/>
      <c r="W73" s="609"/>
      <c r="X73" s="1192"/>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194"/>
      <c r="B74" s="1194"/>
      <c r="C74" s="1194"/>
      <c r="D74" s="1194"/>
      <c r="E74" s="1194"/>
      <c r="F74" s="1194"/>
      <c r="G74" s="1195"/>
      <c r="H74" s="1194"/>
      <c r="I74" s="1194"/>
      <c r="J74" s="1192"/>
      <c r="K74" s="2" t="s">
        <v>294</v>
      </c>
      <c r="L74" s="154" t="s">
        <v>3254</v>
      </c>
      <c r="M74" s="113"/>
      <c r="N74" s="113"/>
      <c r="O74" s="359"/>
      <c r="P74" s="655"/>
      <c r="Q74" s="610"/>
      <c r="R74" s="610"/>
      <c r="S74" s="1466"/>
      <c r="T74" s="352"/>
      <c r="U74" s="1194"/>
      <c r="V74" s="1194"/>
      <c r="W74" s="609"/>
      <c r="X74" s="1192"/>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194"/>
      <c r="B75" s="1194"/>
      <c r="C75" s="1194"/>
      <c r="D75" s="1194"/>
      <c r="E75" s="1194"/>
      <c r="F75" s="1194"/>
      <c r="G75" s="1195"/>
      <c r="H75" s="1194"/>
      <c r="I75" s="1194"/>
      <c r="J75" s="1192"/>
      <c r="K75" s="2" t="s">
        <v>308</v>
      </c>
      <c r="L75" s="154" t="s">
        <v>3242</v>
      </c>
      <c r="M75" s="113"/>
      <c r="N75" s="113"/>
      <c r="O75" s="359"/>
      <c r="P75" s="655"/>
      <c r="Q75" s="610"/>
      <c r="R75" s="610"/>
      <c r="S75" s="1466"/>
      <c r="T75" s="352"/>
      <c r="U75" s="1194"/>
      <c r="V75" s="1194"/>
      <c r="W75" s="609"/>
      <c r="X75" s="1192"/>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194"/>
      <c r="B76" s="1194"/>
      <c r="C76" s="1194"/>
      <c r="D76" s="1194"/>
      <c r="E76" s="1194"/>
      <c r="F76" s="1194"/>
      <c r="G76" s="1195"/>
      <c r="H76" s="1194"/>
      <c r="I76" s="1194"/>
      <c r="J76" s="1192"/>
      <c r="K76" s="2" t="s">
        <v>188</v>
      </c>
      <c r="L76" s="154" t="s">
        <v>3244</v>
      </c>
      <c r="M76" s="113"/>
      <c r="N76" s="113"/>
      <c r="O76" s="359"/>
      <c r="P76" s="655"/>
      <c r="Q76" s="610"/>
      <c r="R76" s="610"/>
      <c r="S76" s="1466"/>
      <c r="T76" s="352"/>
      <c r="U76" s="1194"/>
      <c r="V76" s="1194"/>
      <c r="W76" s="609"/>
      <c r="X76" s="1192"/>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194"/>
      <c r="B77" s="1194"/>
      <c r="C77" s="1194"/>
      <c r="D77" s="1194"/>
      <c r="E77" s="1194"/>
      <c r="F77" s="1194"/>
      <c r="G77" s="1195"/>
      <c r="H77" s="1194"/>
      <c r="I77" s="1194"/>
      <c r="J77" s="1192"/>
      <c r="K77" s="2" t="s">
        <v>154</v>
      </c>
      <c r="L77" s="154" t="s">
        <v>155</v>
      </c>
      <c r="M77" s="113"/>
      <c r="N77" s="113"/>
      <c r="O77" s="359"/>
      <c r="P77" s="655"/>
      <c r="Q77" s="610"/>
      <c r="R77" s="610"/>
      <c r="S77" s="1466"/>
      <c r="T77" s="352"/>
      <c r="U77" s="1194"/>
      <c r="V77" s="1194"/>
      <c r="W77" s="609"/>
      <c r="X77" s="1192"/>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194"/>
      <c r="B78" s="1194"/>
      <c r="C78" s="1194"/>
      <c r="D78" s="1194"/>
      <c r="E78" s="1194"/>
      <c r="F78" s="1194"/>
      <c r="G78" s="1195"/>
      <c r="H78" s="1194"/>
      <c r="I78" s="1194"/>
      <c r="J78" s="1192"/>
      <c r="K78" s="2" t="s">
        <v>146</v>
      </c>
      <c r="L78" s="154" t="s">
        <v>3252</v>
      </c>
      <c r="M78" s="113"/>
      <c r="N78" s="113"/>
      <c r="O78" s="359"/>
      <c r="P78" s="655"/>
      <c r="Q78" s="610"/>
      <c r="R78" s="610"/>
      <c r="S78" s="1466"/>
      <c r="T78" s="352"/>
      <c r="U78" s="1194"/>
      <c r="V78" s="1194"/>
      <c r="W78" s="609"/>
      <c r="X78" s="1192"/>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194"/>
      <c r="B79" s="1194"/>
      <c r="C79" s="1194"/>
      <c r="D79" s="1194"/>
      <c r="E79" s="1194"/>
      <c r="F79" s="1194"/>
      <c r="G79" s="1195"/>
      <c r="H79" s="1194"/>
      <c r="I79" s="1194"/>
      <c r="J79" s="1192"/>
      <c r="K79" s="2" t="s">
        <v>144</v>
      </c>
      <c r="L79" s="154" t="s">
        <v>3256</v>
      </c>
      <c r="M79" s="113"/>
      <c r="N79" s="113"/>
      <c r="O79" s="359"/>
      <c r="P79" s="655"/>
      <c r="Q79" s="610"/>
      <c r="R79" s="610"/>
      <c r="S79" s="1466"/>
      <c r="T79" s="352"/>
      <c r="U79" s="1194"/>
      <c r="V79" s="1194"/>
      <c r="W79" s="609"/>
      <c r="X79" s="1192"/>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194"/>
      <c r="B80" s="1194"/>
      <c r="C80" s="1194"/>
      <c r="D80" s="1194"/>
      <c r="E80" s="1194"/>
      <c r="F80" s="1194"/>
      <c r="G80" s="1195"/>
      <c r="H80" s="1194"/>
      <c r="I80" s="1194"/>
      <c r="J80" s="1192"/>
      <c r="K80" s="2" t="s">
        <v>142</v>
      </c>
      <c r="L80" s="154" t="s">
        <v>3245</v>
      </c>
      <c r="M80" s="113"/>
      <c r="N80" s="113"/>
      <c r="O80" s="359"/>
      <c r="P80" s="655"/>
      <c r="Q80" s="610"/>
      <c r="R80" s="610"/>
      <c r="S80" s="1466"/>
      <c r="T80" s="352"/>
      <c r="U80" s="1194"/>
      <c r="V80" s="1194"/>
      <c r="W80" s="609"/>
      <c r="X80" s="1192"/>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194"/>
      <c r="B81" s="1194"/>
      <c r="C81" s="1194"/>
      <c r="D81" s="1194"/>
      <c r="E81" s="1194"/>
      <c r="F81" s="1194"/>
      <c r="G81" s="1195"/>
      <c r="H81" s="1194"/>
      <c r="I81" s="1194"/>
      <c r="J81" s="1192"/>
      <c r="K81" s="2" t="s">
        <v>250</v>
      </c>
      <c r="L81" s="154" t="s">
        <v>251</v>
      </c>
      <c r="M81" s="113"/>
      <c r="N81" s="113"/>
      <c r="O81" s="359"/>
      <c r="P81" s="655"/>
      <c r="Q81" s="610"/>
      <c r="R81" s="610"/>
      <c r="S81" s="1466"/>
      <c r="T81" s="352"/>
      <c r="U81" s="1194"/>
      <c r="V81" s="1194"/>
      <c r="W81" s="609"/>
      <c r="X81" s="1192"/>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194"/>
      <c r="B82" s="1194"/>
      <c r="C82" s="1194"/>
      <c r="D82" s="1194"/>
      <c r="E82" s="1194"/>
      <c r="F82" s="1194"/>
      <c r="G82" s="1195"/>
      <c r="H82" s="1194"/>
      <c r="I82" s="1194"/>
      <c r="J82" s="1192"/>
      <c r="K82" s="2" t="s">
        <v>164</v>
      </c>
      <c r="L82" s="154" t="s">
        <v>165</v>
      </c>
      <c r="M82" s="113"/>
      <c r="N82" s="113"/>
      <c r="O82" s="359"/>
      <c r="P82" s="655"/>
      <c r="Q82" s="610"/>
      <c r="R82" s="610"/>
      <c r="S82" s="1466"/>
      <c r="T82" s="352"/>
      <c r="U82" s="1194"/>
      <c r="V82" s="1194"/>
      <c r="W82" s="609"/>
      <c r="X82" s="1192"/>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194"/>
      <c r="B83" s="1194"/>
      <c r="C83" s="1194"/>
      <c r="D83" s="1194"/>
      <c r="E83" s="1194"/>
      <c r="F83" s="1194"/>
      <c r="G83" s="1195"/>
      <c r="H83" s="1194"/>
      <c r="I83" s="1194"/>
      <c r="J83" s="1192"/>
      <c r="K83" s="2" t="s">
        <v>172</v>
      </c>
      <c r="L83" s="154" t="s">
        <v>3249</v>
      </c>
      <c r="M83" s="113"/>
      <c r="N83" s="113"/>
      <c r="O83" s="359"/>
      <c r="P83" s="655"/>
      <c r="Q83" s="610"/>
      <c r="R83" s="610"/>
      <c r="S83" s="1466"/>
      <c r="T83" s="352"/>
      <c r="U83" s="1194"/>
      <c r="V83" s="1194"/>
      <c r="W83" s="609"/>
      <c r="X83" s="1192"/>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194"/>
      <c r="B84" s="1194"/>
      <c r="C84" s="1194"/>
      <c r="D84" s="1194"/>
      <c r="E84" s="1194"/>
      <c r="F84" s="1194"/>
      <c r="G84" s="1195"/>
      <c r="H84" s="1194"/>
      <c r="I84" s="1194"/>
      <c r="J84" s="1192"/>
      <c r="K84" s="2" t="s">
        <v>73</v>
      </c>
      <c r="L84" s="154" t="s">
        <v>74</v>
      </c>
      <c r="M84" s="113">
        <v>15000000</v>
      </c>
      <c r="N84" s="113">
        <v>15000000</v>
      </c>
      <c r="O84" s="359"/>
      <c r="P84" s="655"/>
      <c r="Q84" s="610"/>
      <c r="R84" s="610"/>
      <c r="S84" s="1466"/>
      <c r="T84" s="352"/>
      <c r="U84" s="1194"/>
      <c r="V84" s="1194"/>
      <c r="W84" s="609"/>
      <c r="X84" s="1192"/>
      <c r="Y84" s="102"/>
      <c r="Z84" s="2" t="s">
        <v>73</v>
      </c>
      <c r="AA84" s="154" t="s">
        <v>74</v>
      </c>
      <c r="AB84" s="158" t="e">
        <f>+#REF!</f>
        <v>#REF!</v>
      </c>
      <c r="AC84" s="149">
        <v>0</v>
      </c>
      <c r="AD84" s="149"/>
      <c r="AE84" s="149"/>
      <c r="AF84" s="151">
        <v>211</v>
      </c>
      <c r="AG84" s="157" t="e">
        <f>+#REF!-#REF!</f>
        <v>#REF!</v>
      </c>
      <c r="AH84" s="355" t="s">
        <v>3365</v>
      </c>
    </row>
    <row r="85" spans="1:34" ht="37.5" customHeight="1" x14ac:dyDescent="0.25">
      <c r="A85" s="1194"/>
      <c r="B85" s="1194"/>
      <c r="C85" s="1194"/>
      <c r="D85" s="1194"/>
      <c r="E85" s="1194"/>
      <c r="F85" s="1194"/>
      <c r="G85" s="1195"/>
      <c r="H85" s="1194"/>
      <c r="I85" s="1194"/>
      <c r="J85" s="1192"/>
      <c r="K85" s="2" t="s">
        <v>206</v>
      </c>
      <c r="L85" s="154" t="s">
        <v>3250</v>
      </c>
      <c r="M85" s="113"/>
      <c r="N85" s="113"/>
      <c r="O85" s="359"/>
      <c r="P85" s="655"/>
      <c r="Q85" s="610"/>
      <c r="R85" s="610"/>
      <c r="S85" s="1466"/>
      <c r="T85" s="352"/>
      <c r="U85" s="1194"/>
      <c r="V85" s="1194"/>
      <c r="W85" s="609"/>
      <c r="X85" s="1192"/>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194"/>
      <c r="B86" s="1194"/>
      <c r="C86" s="1194"/>
      <c r="D86" s="1194"/>
      <c r="E86" s="1194"/>
      <c r="F86" s="1194"/>
      <c r="G86" s="1195"/>
      <c r="H86" s="1194"/>
      <c r="I86" s="1194"/>
      <c r="J86" s="1192"/>
      <c r="K86" s="2" t="s">
        <v>208</v>
      </c>
      <c r="L86" s="154" t="s">
        <v>3243</v>
      </c>
      <c r="M86" s="113"/>
      <c r="N86" s="113"/>
      <c r="O86" s="359"/>
      <c r="P86" s="655"/>
      <c r="Q86" s="610"/>
      <c r="R86" s="610"/>
      <c r="S86" s="1466"/>
      <c r="T86" s="352"/>
      <c r="U86" s="1194"/>
      <c r="V86" s="1194"/>
      <c r="W86" s="609"/>
      <c r="X86" s="1192"/>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194"/>
      <c r="B87" s="1194"/>
      <c r="C87" s="1194"/>
      <c r="D87" s="1194"/>
      <c r="E87" s="1194"/>
      <c r="F87" s="1194"/>
      <c r="G87" s="1195"/>
      <c r="H87" s="1194"/>
      <c r="I87" s="1194"/>
      <c r="J87" s="1192"/>
      <c r="K87" s="2" t="s">
        <v>203</v>
      </c>
      <c r="L87" s="154" t="s">
        <v>3257</v>
      </c>
      <c r="M87" s="113"/>
      <c r="N87" s="113"/>
      <c r="O87" s="359"/>
      <c r="P87" s="655"/>
      <c r="Q87" s="610"/>
      <c r="R87" s="610"/>
      <c r="S87" s="1466"/>
      <c r="T87" s="352"/>
      <c r="U87" s="1194"/>
      <c r="V87" s="1194"/>
      <c r="W87" s="609"/>
      <c r="X87" s="1192"/>
      <c r="Y87" s="102"/>
      <c r="Z87" s="2" t="s">
        <v>203</v>
      </c>
      <c r="AA87" s="154" t="s">
        <v>3257</v>
      </c>
      <c r="AB87" s="158" t="e">
        <f>+#REF!</f>
        <v>#REF!</v>
      </c>
      <c r="AC87" s="149">
        <v>0</v>
      </c>
      <c r="AD87" s="149"/>
      <c r="AE87" s="149"/>
      <c r="AF87" s="151">
        <v>211</v>
      </c>
      <c r="AG87" s="157" t="e">
        <f>+#REF!-#REF!</f>
        <v>#REF!</v>
      </c>
      <c r="AH87" s="355" t="s">
        <v>3365</v>
      </c>
    </row>
    <row r="88" spans="1:34" ht="38.25" x14ac:dyDescent="0.25">
      <c r="A88" s="1194"/>
      <c r="B88" s="1194"/>
      <c r="C88" s="1194"/>
      <c r="D88" s="1194"/>
      <c r="E88" s="1194"/>
      <c r="F88" s="1194"/>
      <c r="G88" s="1195"/>
      <c r="H88" s="1194"/>
      <c r="I88" s="1194"/>
      <c r="J88" s="1192"/>
      <c r="K88" s="2" t="s">
        <v>210</v>
      </c>
      <c r="L88" s="154" t="s">
        <v>3248</v>
      </c>
      <c r="M88" s="113"/>
      <c r="N88" s="113"/>
      <c r="O88" s="359"/>
      <c r="P88" s="655"/>
      <c r="Q88" s="610"/>
      <c r="R88" s="610"/>
      <c r="S88" s="1466"/>
      <c r="T88" s="352"/>
      <c r="U88" s="1194"/>
      <c r="V88" s="1194"/>
      <c r="W88" s="609"/>
      <c r="X88" s="1192"/>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194" t="s">
        <v>2814</v>
      </c>
      <c r="B89" s="1194" t="s">
        <v>3138</v>
      </c>
      <c r="C89" s="1191" t="s">
        <v>3030</v>
      </c>
      <c r="D89" s="1191" t="s">
        <v>3259</v>
      </c>
      <c r="E89" s="1191" t="s">
        <v>3032</v>
      </c>
      <c r="F89" s="1191" t="s">
        <v>3193</v>
      </c>
      <c r="G89" s="1285"/>
      <c r="H89" s="1191" t="s">
        <v>3052</v>
      </c>
      <c r="I89" s="1191" t="s">
        <v>3227</v>
      </c>
      <c r="J89" s="1194" t="s">
        <v>3461</v>
      </c>
      <c r="K89" s="2" t="s">
        <v>1652</v>
      </c>
      <c r="L89" s="154" t="s">
        <v>3253</v>
      </c>
      <c r="M89" s="113">
        <v>97700000</v>
      </c>
      <c r="N89" s="113">
        <v>56540745</v>
      </c>
      <c r="O89" s="359"/>
      <c r="P89" s="659"/>
      <c r="Q89" s="671"/>
      <c r="R89" s="671"/>
      <c r="S89" s="1470"/>
      <c r="T89" s="352"/>
      <c r="U89" s="1191" t="s">
        <v>3052</v>
      </c>
      <c r="V89" s="1191" t="s">
        <v>3227</v>
      </c>
      <c r="W89" s="608"/>
      <c r="X89" s="1194"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194"/>
      <c r="B90" s="1194"/>
      <c r="C90" s="1192"/>
      <c r="D90" s="1192"/>
      <c r="E90" s="1192"/>
      <c r="F90" s="1192"/>
      <c r="G90" s="1286"/>
      <c r="H90" s="1192"/>
      <c r="I90" s="1192"/>
      <c r="J90" s="1194"/>
      <c r="K90" s="2" t="s">
        <v>3341</v>
      </c>
      <c r="L90" s="154" t="s">
        <v>3342</v>
      </c>
      <c r="M90" s="113">
        <v>300146151</v>
      </c>
      <c r="N90" s="113">
        <v>244968174</v>
      </c>
      <c r="O90" s="359"/>
      <c r="P90" s="660"/>
      <c r="Q90" s="624"/>
      <c r="R90" s="624"/>
      <c r="S90" s="1471"/>
      <c r="T90" s="353"/>
      <c r="U90" s="1192"/>
      <c r="V90" s="1192"/>
      <c r="W90" s="609"/>
      <c r="X90" s="1194"/>
      <c r="Y90" s="102"/>
      <c r="Z90" s="2" t="s">
        <v>3341</v>
      </c>
      <c r="AA90" s="154" t="s">
        <v>3342</v>
      </c>
      <c r="AB90" s="158" t="e">
        <f>+#REF!</f>
        <v>#REF!</v>
      </c>
      <c r="AC90" s="149">
        <v>0</v>
      </c>
      <c r="AD90" s="149"/>
      <c r="AE90" s="149"/>
      <c r="AF90" s="151">
        <v>211</v>
      </c>
      <c r="AG90" s="157"/>
      <c r="AH90" s="355" t="s">
        <v>3364</v>
      </c>
    </row>
    <row r="91" spans="1:34" ht="39" customHeight="1" x14ac:dyDescent="0.25">
      <c r="A91" s="1194"/>
      <c r="B91" s="1194"/>
      <c r="C91" s="1192"/>
      <c r="D91" s="1192"/>
      <c r="E91" s="1193"/>
      <c r="F91" s="1193"/>
      <c r="G91" s="1287"/>
      <c r="H91" s="1193"/>
      <c r="I91" s="1193"/>
      <c r="J91" s="1194"/>
      <c r="K91" s="2" t="s">
        <v>3412</v>
      </c>
      <c r="L91" s="154" t="s">
        <v>3413</v>
      </c>
      <c r="M91" s="113"/>
      <c r="N91" s="113"/>
      <c r="O91" s="369"/>
      <c r="P91" s="661"/>
      <c r="Q91" s="626"/>
      <c r="R91" s="626"/>
      <c r="S91" s="1472"/>
      <c r="T91" s="367"/>
      <c r="U91" s="1193"/>
      <c r="V91" s="1193"/>
      <c r="W91" s="612"/>
      <c r="X91" s="1194"/>
      <c r="Y91" s="102"/>
      <c r="Z91" s="2" t="s">
        <v>3412</v>
      </c>
      <c r="AA91" s="154" t="s">
        <v>3413</v>
      </c>
      <c r="AB91" s="158" t="e">
        <f>+#REF!</f>
        <v>#REF!</v>
      </c>
      <c r="AC91" s="149">
        <v>0</v>
      </c>
      <c r="AD91" s="149"/>
      <c r="AE91" s="241"/>
      <c r="AF91" s="199">
        <v>211</v>
      </c>
      <c r="AG91" s="232"/>
      <c r="AH91" s="355" t="s">
        <v>3365</v>
      </c>
    </row>
    <row r="92" spans="1:34" ht="92.25" customHeight="1" x14ac:dyDescent="0.25">
      <c r="A92" s="1194"/>
      <c r="B92" s="1194"/>
      <c r="C92" s="1193"/>
      <c r="D92" s="1193"/>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194" t="s">
        <v>3408</v>
      </c>
      <c r="B93" s="1194"/>
      <c r="C93" s="1194"/>
      <c r="D93" s="1194"/>
      <c r="E93" s="1194"/>
      <c r="F93" s="1194"/>
      <c r="G93" s="380">
        <f>SUM(G56:G92)</f>
        <v>7265000000</v>
      </c>
      <c r="H93" s="1233"/>
      <c r="I93" s="1248"/>
      <c r="J93" s="1248"/>
      <c r="K93" s="1233"/>
      <c r="L93" s="1248"/>
      <c r="M93" s="380">
        <f>SUM(M56:M92)</f>
        <v>7058962685</v>
      </c>
      <c r="N93" s="380">
        <f>SUM(N56:N92)</f>
        <v>1659830011</v>
      </c>
      <c r="O93" s="267"/>
      <c r="P93" s="650"/>
      <c r="Q93" s="267"/>
      <c r="R93" s="267"/>
      <c r="S93" s="644">
        <f>SUM(S56:S92)</f>
        <v>7025000000</v>
      </c>
      <c r="T93" s="380">
        <f>SUM(T56:T92)</f>
        <v>7125000000</v>
      </c>
      <c r="U93" s="1233"/>
      <c r="V93" s="1248"/>
      <c r="W93" s="1248"/>
      <c r="X93" s="1248"/>
      <c r="Y93" s="1266"/>
      <c r="Z93" s="1233"/>
      <c r="AA93" s="1248"/>
      <c r="AB93" s="133" t="e">
        <f>SUM(AB56:AB92)</f>
        <v>#REF!</v>
      </c>
      <c r="AC93" s="133" t="e">
        <f>SUM(AC56:AC92)</f>
        <v>#REF!</v>
      </c>
      <c r="AD93" s="133"/>
      <c r="AE93" s="133"/>
      <c r="AF93" s="1194"/>
      <c r="AG93" s="1194"/>
      <c r="AH93" s="1194"/>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63"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65"/>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194" t="s">
        <v>3409</v>
      </c>
      <c r="B98" s="1194"/>
      <c r="C98" s="1194"/>
      <c r="D98" s="1194"/>
      <c r="E98" s="1194"/>
      <c r="F98" s="1194"/>
      <c r="G98" s="380">
        <f>SUM(G95:G97)</f>
        <v>65000000</v>
      </c>
      <c r="H98" s="1233"/>
      <c r="I98" s="1248"/>
      <c r="J98" s="1248"/>
      <c r="K98" s="1233"/>
      <c r="L98" s="1248"/>
      <c r="M98" s="380">
        <f>SUM(M95:M97)</f>
        <v>12798885</v>
      </c>
      <c r="N98" s="380">
        <f>SUM(N95:N97)</f>
        <v>11404021</v>
      </c>
      <c r="O98" s="267"/>
      <c r="P98" s="650"/>
      <c r="Q98" s="267"/>
      <c r="R98" s="267"/>
      <c r="S98" s="644">
        <f>SUM(S95:S97)</f>
        <v>65000000</v>
      </c>
      <c r="T98" s="380"/>
      <c r="U98" s="1233"/>
      <c r="V98" s="1248"/>
      <c r="W98" s="1248"/>
      <c r="X98" s="1248"/>
      <c r="Y98" s="1266"/>
      <c r="Z98" s="1233"/>
      <c r="AA98" s="1248"/>
      <c r="AB98" s="133" t="e">
        <f>SUM(AB95:AB97)</f>
        <v>#REF!</v>
      </c>
      <c r="AC98" s="133">
        <f>SUM(AC95:AC97)</f>
        <v>61108759</v>
      </c>
      <c r="AD98" s="133"/>
      <c r="AE98" s="133"/>
      <c r="AF98" s="1194"/>
      <c r="AG98" s="1194"/>
      <c r="AH98" s="1194"/>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182"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184"/>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83"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84"/>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305"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305"/>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264"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264"/>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264"/>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264"/>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264"/>
    </row>
    <row r="111" spans="1:34" ht="25.5" x14ac:dyDescent="0.25">
      <c r="A111" s="1227" t="s">
        <v>2826</v>
      </c>
      <c r="B111" s="1254" t="s">
        <v>2827</v>
      </c>
      <c r="C111" s="1227" t="s">
        <v>2840</v>
      </c>
      <c r="D111" s="1254" t="s">
        <v>434</v>
      </c>
      <c r="E111" s="1227" t="s">
        <v>2870</v>
      </c>
      <c r="F111" s="1254" t="s">
        <v>3149</v>
      </c>
      <c r="G111" s="1240">
        <v>200000000</v>
      </c>
      <c r="H111" s="1191" t="s">
        <v>2876</v>
      </c>
      <c r="I111" s="1191" t="s">
        <v>3216</v>
      </c>
      <c r="J111" s="1271">
        <v>2</v>
      </c>
      <c r="K111" s="2" t="s">
        <v>78</v>
      </c>
      <c r="L111" s="154" t="s">
        <v>79</v>
      </c>
      <c r="M111" s="113"/>
      <c r="N111" s="113"/>
      <c r="O111" s="359"/>
      <c r="P111" s="645"/>
      <c r="Q111" s="624"/>
      <c r="R111" s="624"/>
      <c r="S111" s="1257">
        <v>200000000</v>
      </c>
      <c r="T111" s="1210">
        <v>200000000</v>
      </c>
      <c r="U111" s="1191" t="s">
        <v>2876</v>
      </c>
      <c r="V111" s="1191" t="s">
        <v>3216</v>
      </c>
      <c r="W111" s="608"/>
      <c r="X111" s="1191">
        <v>2</v>
      </c>
      <c r="Y111" s="106">
        <v>0</v>
      </c>
      <c r="Z111" s="2" t="s">
        <v>78</v>
      </c>
      <c r="AA111" s="154" t="s">
        <v>79</v>
      </c>
      <c r="AB111" s="158" t="e">
        <f>+#REF!</f>
        <v>#REF!</v>
      </c>
      <c r="AC111" s="149">
        <v>77177498</v>
      </c>
      <c r="AD111" s="149"/>
      <c r="AE111" s="149"/>
      <c r="AF111" s="151">
        <v>301</v>
      </c>
      <c r="AG111" s="157" t="e">
        <f>+#REF!-#REF!</f>
        <v>#REF!</v>
      </c>
      <c r="AH111" s="1264"/>
    </row>
    <row r="112" spans="1:34" ht="25.5" x14ac:dyDescent="0.25">
      <c r="A112" s="1183"/>
      <c r="B112" s="1255"/>
      <c r="C112" s="1183"/>
      <c r="D112" s="1255"/>
      <c r="E112" s="1183"/>
      <c r="F112" s="1255"/>
      <c r="G112" s="1241"/>
      <c r="H112" s="1192"/>
      <c r="I112" s="1192"/>
      <c r="J112" s="1272"/>
      <c r="K112" s="363" t="s">
        <v>127</v>
      </c>
      <c r="L112" s="171" t="s">
        <v>128</v>
      </c>
      <c r="M112" s="113">
        <v>8000000</v>
      </c>
      <c r="N112" s="113">
        <v>8000000</v>
      </c>
      <c r="O112" s="359"/>
      <c r="P112" s="645"/>
      <c r="Q112" s="624"/>
      <c r="R112" s="624"/>
      <c r="S112" s="1258"/>
      <c r="T112" s="1211"/>
      <c r="U112" s="1192"/>
      <c r="V112" s="1192"/>
      <c r="W112" s="609"/>
      <c r="X112" s="1192"/>
      <c r="Y112" s="102"/>
      <c r="Z112" s="363" t="s">
        <v>127</v>
      </c>
      <c r="AA112" s="171" t="s">
        <v>128</v>
      </c>
      <c r="AB112" s="158" t="e">
        <f>+#REF!</f>
        <v>#REF!</v>
      </c>
      <c r="AC112" s="149">
        <v>42059368</v>
      </c>
      <c r="AD112" s="149"/>
      <c r="AE112" s="241"/>
      <c r="AF112" s="199">
        <v>301</v>
      </c>
      <c r="AG112" s="232" t="e">
        <f>+#REF!-#REF!</f>
        <v>#REF!</v>
      </c>
      <c r="AH112" s="1264"/>
    </row>
    <row r="113" spans="1:34" ht="43.5" customHeight="1" x14ac:dyDescent="0.25">
      <c r="A113" s="1194" t="s">
        <v>3410</v>
      </c>
      <c r="B113" s="1194"/>
      <c r="C113" s="1194"/>
      <c r="D113" s="1194"/>
      <c r="E113" s="1194"/>
      <c r="F113" s="1194"/>
      <c r="G113" s="380">
        <f>SUM(G100:G112)</f>
        <v>1075000000</v>
      </c>
      <c r="H113" s="1233"/>
      <c r="I113" s="1248"/>
      <c r="J113" s="1248"/>
      <c r="K113" s="1233"/>
      <c r="L113" s="1248"/>
      <c r="M113" s="380">
        <f>SUM(M100:M112)</f>
        <v>517695517</v>
      </c>
      <c r="N113" s="380">
        <f>SUM(N100:N112)</f>
        <v>284219985</v>
      </c>
      <c r="O113" s="267"/>
      <c r="P113" s="650"/>
      <c r="Q113" s="267"/>
      <c r="R113" s="267"/>
      <c r="S113" s="644">
        <f>SUM(S100:S112)</f>
        <v>1200000000</v>
      </c>
      <c r="T113" s="380"/>
      <c r="U113" s="1233"/>
      <c r="V113" s="1248"/>
      <c r="W113" s="1248"/>
      <c r="X113" s="1248"/>
      <c r="Y113" s="1266"/>
      <c r="Z113" s="1233" t="s">
        <v>3410</v>
      </c>
      <c r="AA113" s="1248"/>
      <c r="AB113" s="133" t="e">
        <f>SUM(AB100:AB112)</f>
        <v>#REF!</v>
      </c>
      <c r="AC113" s="133" t="e">
        <f>SUM(AC100:AC112)</f>
        <v>#REF!</v>
      </c>
      <c r="AD113" s="133"/>
      <c r="AE113" s="133"/>
      <c r="AF113" s="1194"/>
      <c r="AG113" s="1194"/>
      <c r="AH113" s="1194"/>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183" t="s">
        <v>2880</v>
      </c>
      <c r="B115" s="1183" t="s">
        <v>3215</v>
      </c>
      <c r="C115" s="1183" t="s">
        <v>2882</v>
      </c>
      <c r="D115" s="1183"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184"/>
      <c r="B116" s="1184"/>
      <c r="C116" s="1184"/>
      <c r="D116" s="1184"/>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194" t="s">
        <v>2880</v>
      </c>
      <c r="B119" s="1194" t="s">
        <v>3215</v>
      </c>
      <c r="C119" s="1194" t="s">
        <v>2892</v>
      </c>
      <c r="D119" s="1194" t="s">
        <v>3209</v>
      </c>
      <c r="E119" s="1194" t="s">
        <v>2901</v>
      </c>
      <c r="F119" s="1194" t="s">
        <v>3157</v>
      </c>
      <c r="G119" s="1195">
        <v>400000000</v>
      </c>
      <c r="H119" s="1196" t="s">
        <v>2909</v>
      </c>
      <c r="I119" s="1194" t="s">
        <v>3211</v>
      </c>
      <c r="J119" s="1194">
        <v>10</v>
      </c>
      <c r="K119" s="109" t="s">
        <v>132</v>
      </c>
      <c r="L119" s="154" t="s">
        <v>133</v>
      </c>
      <c r="M119" s="113"/>
      <c r="N119" s="113"/>
      <c r="O119" s="359"/>
      <c r="P119" s="655"/>
      <c r="Q119" s="610"/>
      <c r="R119" s="610"/>
      <c r="S119" s="1466">
        <v>400000000</v>
      </c>
      <c r="T119" s="351">
        <v>400000000</v>
      </c>
      <c r="U119" s="1196" t="s">
        <v>2909</v>
      </c>
      <c r="V119" s="1194" t="s">
        <v>3211</v>
      </c>
      <c r="W119" s="608"/>
      <c r="X119" s="1191">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194"/>
      <c r="B120" s="1194"/>
      <c r="C120" s="1194"/>
      <c r="D120" s="1194"/>
      <c r="E120" s="1194"/>
      <c r="F120" s="1194"/>
      <c r="G120" s="1195"/>
      <c r="H120" s="1196"/>
      <c r="I120" s="1194"/>
      <c r="J120" s="1194"/>
      <c r="K120" s="109" t="s">
        <v>139</v>
      </c>
      <c r="L120" s="154" t="s">
        <v>140</v>
      </c>
      <c r="M120" s="113"/>
      <c r="N120" s="113"/>
      <c r="O120" s="359"/>
      <c r="P120" s="655"/>
      <c r="Q120" s="610"/>
      <c r="R120" s="610"/>
      <c r="S120" s="1466"/>
      <c r="T120" s="352"/>
      <c r="U120" s="1196"/>
      <c r="V120" s="1194"/>
      <c r="W120" s="609"/>
      <c r="X120" s="1192"/>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194"/>
      <c r="B121" s="1194"/>
      <c r="C121" s="1194"/>
      <c r="D121" s="1194"/>
      <c r="E121" s="1194"/>
      <c r="F121" s="1194"/>
      <c r="G121" s="1195"/>
      <c r="H121" s="1196"/>
      <c r="I121" s="1194"/>
      <c r="J121" s="1194"/>
      <c r="K121" s="109" t="s">
        <v>151</v>
      </c>
      <c r="L121" s="154" t="s">
        <v>152</v>
      </c>
      <c r="M121" s="113"/>
      <c r="N121" s="113"/>
      <c r="O121" s="359"/>
      <c r="P121" s="655"/>
      <c r="Q121" s="610"/>
      <c r="R121" s="610"/>
      <c r="S121" s="1466"/>
      <c r="T121" s="352"/>
      <c r="U121" s="1196"/>
      <c r="V121" s="1194"/>
      <c r="W121" s="609"/>
      <c r="X121" s="1192"/>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194"/>
      <c r="B122" s="1194"/>
      <c r="C122" s="1194"/>
      <c r="D122" s="1194"/>
      <c r="E122" s="1194"/>
      <c r="F122" s="1194"/>
      <c r="G122" s="1195"/>
      <c r="H122" s="1196"/>
      <c r="I122" s="1194"/>
      <c r="J122" s="1194"/>
      <c r="K122" s="109" t="s">
        <v>161</v>
      </c>
      <c r="L122" s="154" t="s">
        <v>162</v>
      </c>
      <c r="M122" s="113"/>
      <c r="N122" s="113"/>
      <c r="O122" s="359"/>
      <c r="P122" s="655"/>
      <c r="Q122" s="610"/>
      <c r="R122" s="610"/>
      <c r="S122" s="1466"/>
      <c r="T122" s="352"/>
      <c r="U122" s="1196"/>
      <c r="V122" s="1194"/>
      <c r="W122" s="609"/>
      <c r="X122" s="1192"/>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194"/>
      <c r="B123" s="1194"/>
      <c r="C123" s="1194"/>
      <c r="D123" s="1194"/>
      <c r="E123" s="1194"/>
      <c r="F123" s="1194"/>
      <c r="G123" s="1195"/>
      <c r="H123" s="1196"/>
      <c r="I123" s="1194"/>
      <c r="J123" s="1194"/>
      <c r="K123" s="109" t="s">
        <v>169</v>
      </c>
      <c r="L123" s="154" t="s">
        <v>3214</v>
      </c>
      <c r="M123" s="113"/>
      <c r="N123" s="113"/>
      <c r="O123" s="359"/>
      <c r="P123" s="655"/>
      <c r="Q123" s="610"/>
      <c r="R123" s="610"/>
      <c r="S123" s="1466"/>
      <c r="T123" s="352"/>
      <c r="U123" s="1196"/>
      <c r="V123" s="1194"/>
      <c r="W123" s="609"/>
      <c r="X123" s="1192"/>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182" t="s">
        <v>2880</v>
      </c>
      <c r="B124" s="1182" t="s">
        <v>3215</v>
      </c>
      <c r="C124" s="1182" t="s">
        <v>2892</v>
      </c>
      <c r="D124" s="1182" t="s">
        <v>3209</v>
      </c>
      <c r="E124" s="1182" t="s">
        <v>2901</v>
      </c>
      <c r="F124" s="1182" t="s">
        <v>3157</v>
      </c>
      <c r="G124" s="1185"/>
      <c r="H124" s="1188" t="s">
        <v>2909</v>
      </c>
      <c r="I124" s="1191" t="s">
        <v>3211</v>
      </c>
      <c r="J124" s="1288"/>
      <c r="K124" s="2" t="s">
        <v>177</v>
      </c>
      <c r="L124" s="154" t="s">
        <v>3158</v>
      </c>
      <c r="M124" s="113">
        <v>35000000</v>
      </c>
      <c r="N124" s="113">
        <v>0</v>
      </c>
      <c r="O124" s="359"/>
      <c r="P124" s="659"/>
      <c r="Q124" s="671"/>
      <c r="R124" s="671"/>
      <c r="S124" s="1470"/>
      <c r="T124" s="352"/>
      <c r="U124" s="1188" t="s">
        <v>2909</v>
      </c>
      <c r="V124" s="1191" t="s">
        <v>3211</v>
      </c>
      <c r="W124" s="609"/>
      <c r="X124" s="1192"/>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183"/>
      <c r="B125" s="1183"/>
      <c r="C125" s="1183"/>
      <c r="D125" s="1183"/>
      <c r="E125" s="1183"/>
      <c r="F125" s="1183"/>
      <c r="G125" s="1186"/>
      <c r="H125" s="1189"/>
      <c r="I125" s="1192"/>
      <c r="J125" s="1236"/>
      <c r="K125" s="2" t="s">
        <v>185</v>
      </c>
      <c r="L125" s="154" t="s">
        <v>3212</v>
      </c>
      <c r="M125" s="113"/>
      <c r="N125" s="113"/>
      <c r="O125" s="359"/>
      <c r="P125" s="660"/>
      <c r="Q125" s="624"/>
      <c r="R125" s="624"/>
      <c r="S125" s="1471"/>
      <c r="T125" s="352"/>
      <c r="U125" s="1189"/>
      <c r="V125" s="1192"/>
      <c r="W125" s="609"/>
      <c r="X125" s="1192"/>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183"/>
      <c r="B126" s="1183"/>
      <c r="C126" s="1183"/>
      <c r="D126" s="1183"/>
      <c r="E126" s="1183"/>
      <c r="F126" s="1183"/>
      <c r="G126" s="1186"/>
      <c r="H126" s="1189"/>
      <c r="I126" s="1192"/>
      <c r="J126" s="1236"/>
      <c r="K126" s="2" t="s">
        <v>101</v>
      </c>
      <c r="L126" s="154" t="s">
        <v>102</v>
      </c>
      <c r="M126" s="113"/>
      <c r="N126" s="113"/>
      <c r="O126" s="359"/>
      <c r="P126" s="660"/>
      <c r="Q126" s="624"/>
      <c r="R126" s="624"/>
      <c r="S126" s="1471"/>
      <c r="T126" s="352"/>
      <c r="U126" s="1189"/>
      <c r="V126" s="1192"/>
      <c r="W126" s="609"/>
      <c r="X126" s="1192"/>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183"/>
      <c r="B127" s="1183"/>
      <c r="C127" s="1183"/>
      <c r="D127" s="1183"/>
      <c r="E127" s="1183"/>
      <c r="F127" s="1183"/>
      <c r="G127" s="1186"/>
      <c r="H127" s="1189"/>
      <c r="I127" s="1192"/>
      <c r="J127" s="1236"/>
      <c r="K127" s="2" t="s">
        <v>99</v>
      </c>
      <c r="L127" s="154" t="s">
        <v>3213</v>
      </c>
      <c r="M127" s="113"/>
      <c r="N127" s="113"/>
      <c r="O127" s="359"/>
      <c r="P127" s="660"/>
      <c r="Q127" s="624"/>
      <c r="R127" s="624"/>
      <c r="S127" s="1471"/>
      <c r="T127" s="352"/>
      <c r="U127" s="1189"/>
      <c r="V127" s="1192"/>
      <c r="W127" s="609"/>
      <c r="X127" s="1192"/>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184"/>
      <c r="B128" s="1184"/>
      <c r="C128" s="1184"/>
      <c r="D128" s="1184"/>
      <c r="E128" s="1184"/>
      <c r="F128" s="1184"/>
      <c r="G128" s="1187"/>
      <c r="H128" s="1190"/>
      <c r="I128" s="1193"/>
      <c r="J128" s="1289"/>
      <c r="K128" s="2" t="s">
        <v>103</v>
      </c>
      <c r="L128" s="154" t="s">
        <v>104</v>
      </c>
      <c r="M128" s="113"/>
      <c r="N128" s="113"/>
      <c r="O128" s="359"/>
      <c r="P128" s="661"/>
      <c r="Q128" s="626"/>
      <c r="R128" s="626"/>
      <c r="S128" s="1472"/>
      <c r="T128" s="348"/>
      <c r="U128" s="1190"/>
      <c r="V128" s="1193"/>
      <c r="W128" s="612"/>
      <c r="X128" s="1193"/>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27" t="s">
        <v>2880</v>
      </c>
      <c r="B131" s="1254" t="s">
        <v>3215</v>
      </c>
      <c r="C131" s="1227" t="s">
        <v>2892</v>
      </c>
      <c r="D131" s="1254" t="s">
        <v>3209</v>
      </c>
      <c r="E131" s="1227" t="s">
        <v>2894</v>
      </c>
      <c r="F131" s="1254" t="s">
        <v>3263</v>
      </c>
      <c r="G131" s="1240">
        <v>600000000</v>
      </c>
      <c r="H131" s="1196" t="s">
        <v>2896</v>
      </c>
      <c r="I131" s="1194" t="s">
        <v>3343</v>
      </c>
      <c r="J131" s="1194">
        <v>50</v>
      </c>
      <c r="K131" s="2" t="s">
        <v>39</v>
      </c>
      <c r="L131" s="154" t="s">
        <v>40</v>
      </c>
      <c r="M131" s="113">
        <v>153569675</v>
      </c>
      <c r="N131" s="113">
        <v>144720628</v>
      </c>
      <c r="O131" s="359"/>
      <c r="P131" s="645"/>
      <c r="Q131" s="624"/>
      <c r="R131" s="624"/>
      <c r="S131" s="1257">
        <v>1000000000</v>
      </c>
      <c r="T131" s="1260">
        <v>1000000000</v>
      </c>
      <c r="U131" s="1196" t="s">
        <v>2896</v>
      </c>
      <c r="V131" s="1194" t="s">
        <v>3343</v>
      </c>
      <c r="W131" s="611"/>
      <c r="X131" s="1194">
        <v>50</v>
      </c>
      <c r="Y131" s="106">
        <v>0</v>
      </c>
      <c r="Z131" s="2" t="s">
        <v>39</v>
      </c>
      <c r="AA131" s="154" t="s">
        <v>40</v>
      </c>
      <c r="AB131" s="167" t="e">
        <f>+#REF!</f>
        <v>#REF!</v>
      </c>
      <c r="AC131" s="149">
        <v>115104744</v>
      </c>
      <c r="AD131" s="149"/>
      <c r="AE131" s="149"/>
      <c r="AF131" s="151">
        <v>211</v>
      </c>
      <c r="AG131" s="157" t="e">
        <f>+#REF!-#REF!</f>
        <v>#REF!</v>
      </c>
      <c r="AH131" s="1263" t="s">
        <v>3375</v>
      </c>
    </row>
    <row r="132" spans="1:34" ht="25.5" x14ac:dyDescent="0.25">
      <c r="A132" s="1183"/>
      <c r="B132" s="1255"/>
      <c r="C132" s="1183"/>
      <c r="D132" s="1255"/>
      <c r="E132" s="1183"/>
      <c r="F132" s="1255"/>
      <c r="G132" s="1256"/>
      <c r="H132" s="1196"/>
      <c r="I132" s="1194"/>
      <c r="J132" s="1194"/>
      <c r="K132" s="2" t="s">
        <v>33</v>
      </c>
      <c r="L132" s="154" t="s">
        <v>3152</v>
      </c>
      <c r="M132" s="113">
        <v>450996000</v>
      </c>
      <c r="N132" s="113">
        <v>261980256</v>
      </c>
      <c r="O132" s="359"/>
      <c r="P132" s="645"/>
      <c r="Q132" s="624"/>
      <c r="R132" s="624"/>
      <c r="S132" s="1259"/>
      <c r="T132" s="1262"/>
      <c r="U132" s="1196"/>
      <c r="V132" s="1194"/>
      <c r="W132" s="611"/>
      <c r="X132" s="1194"/>
      <c r="Y132" s="102"/>
      <c r="Z132" s="2" t="s">
        <v>33</v>
      </c>
      <c r="AA132" s="154" t="s">
        <v>3152</v>
      </c>
      <c r="AB132" s="167" t="e">
        <f>+#REF!</f>
        <v>#REF!</v>
      </c>
      <c r="AC132" s="149">
        <v>0</v>
      </c>
      <c r="AD132" s="149"/>
      <c r="AE132" s="149"/>
      <c r="AF132" s="151">
        <v>211</v>
      </c>
      <c r="AG132" s="157" t="e">
        <f>+#REF!-#REF!</f>
        <v>#REF!</v>
      </c>
      <c r="AH132" s="1264"/>
    </row>
    <row r="133" spans="1:34" ht="38.25" x14ac:dyDescent="0.25">
      <c r="A133" s="1184"/>
      <c r="B133" s="1279"/>
      <c r="C133" s="1184"/>
      <c r="D133" s="1279"/>
      <c r="E133" s="1184"/>
      <c r="F133" s="1279"/>
      <c r="G133" s="1280"/>
      <c r="H133" s="1196"/>
      <c r="I133" s="1194"/>
      <c r="J133" s="1194"/>
      <c r="K133" s="363" t="s">
        <v>35</v>
      </c>
      <c r="L133" s="171" t="s">
        <v>3151</v>
      </c>
      <c r="M133" s="113"/>
      <c r="N133" s="113"/>
      <c r="O133" s="359"/>
      <c r="P133" s="645"/>
      <c r="Q133" s="624"/>
      <c r="R133" s="624"/>
      <c r="S133" s="1281"/>
      <c r="T133" s="1282"/>
      <c r="U133" s="1196"/>
      <c r="V133" s="1194"/>
      <c r="W133" s="611"/>
      <c r="X133" s="1194"/>
      <c r="Y133" s="103"/>
      <c r="Z133" s="363" t="s">
        <v>35</v>
      </c>
      <c r="AA133" s="171" t="s">
        <v>3151</v>
      </c>
      <c r="AB133" s="167" t="e">
        <f>+#REF!</f>
        <v>#REF!</v>
      </c>
      <c r="AC133" s="149">
        <v>23418092</v>
      </c>
      <c r="AD133" s="149"/>
      <c r="AE133" s="241"/>
      <c r="AF133" s="199">
        <v>211</v>
      </c>
      <c r="AG133" s="232" t="e">
        <f>+#REF!-#REF!</f>
        <v>#REF!</v>
      </c>
      <c r="AH133" s="1264"/>
    </row>
    <row r="134" spans="1:34" ht="32.25" customHeight="1" x14ac:dyDescent="0.25">
      <c r="A134" s="1194" t="s">
        <v>3411</v>
      </c>
      <c r="B134" s="1194"/>
      <c r="C134" s="1194"/>
      <c r="D134" s="1194"/>
      <c r="E134" s="1194"/>
      <c r="F134" s="1194"/>
      <c r="G134" s="380">
        <f>SUM(G115:G133)</f>
        <v>1255000000</v>
      </c>
      <c r="H134" s="1233"/>
      <c r="I134" s="1248"/>
      <c r="J134" s="1248"/>
      <c r="K134" s="1233"/>
      <c r="L134" s="1248"/>
      <c r="M134" s="380">
        <f>SUM(M115:M133)</f>
        <v>656242322</v>
      </c>
      <c r="N134" s="380">
        <f>SUM(N115:N133)</f>
        <v>422930468</v>
      </c>
      <c r="O134" s="267"/>
      <c r="P134" s="650"/>
      <c r="Q134" s="267"/>
      <c r="R134" s="267"/>
      <c r="S134" s="644">
        <f>SUM(S115:S133)</f>
        <v>1835000000</v>
      </c>
      <c r="T134" s="380"/>
      <c r="U134" s="1233"/>
      <c r="V134" s="1248"/>
      <c r="W134" s="1248"/>
      <c r="X134" s="1248"/>
      <c r="Y134" s="1266"/>
      <c r="Z134" s="1233"/>
      <c r="AA134" s="1248"/>
      <c r="AB134" s="133" t="e">
        <f>SUM(AB115:AB133)</f>
        <v>#REF!</v>
      </c>
      <c r="AC134" s="133" t="e">
        <f>SUM(AC115:AC133)</f>
        <v>#REF!</v>
      </c>
      <c r="AD134" s="133"/>
      <c r="AE134" s="133"/>
      <c r="AF134" s="1194"/>
      <c r="AG134" s="1194"/>
      <c r="AH134" s="1194"/>
    </row>
    <row r="135" spans="1:34" ht="20.25" customHeight="1" x14ac:dyDescent="0.25">
      <c r="A135" s="1303"/>
      <c r="B135" s="1303"/>
      <c r="C135" s="1303"/>
      <c r="D135" s="1303"/>
      <c r="E135" s="1303"/>
      <c r="F135" s="1303"/>
      <c r="G135" s="281"/>
      <c r="H135" s="1304"/>
      <c r="I135" s="1304"/>
      <c r="J135" s="1304"/>
      <c r="K135" s="361"/>
      <c r="L135" s="361"/>
      <c r="M135" s="361"/>
      <c r="N135" s="361"/>
      <c r="O135" s="361"/>
      <c r="P135" s="663"/>
      <c r="Q135" s="614"/>
      <c r="R135" s="614"/>
      <c r="S135" s="281"/>
      <c r="T135" s="281"/>
      <c r="U135" s="1304"/>
      <c r="V135" s="1304"/>
      <c r="W135" s="1304"/>
      <c r="X135" s="1304"/>
      <c r="Y135" s="280"/>
      <c r="Z135" s="1303"/>
      <c r="AA135" s="1303"/>
      <c r="AB135" s="1303"/>
      <c r="AC135" s="1303"/>
      <c r="AD135" s="1303"/>
      <c r="AE135" s="1303"/>
      <c r="AF135" s="1303"/>
      <c r="AG135" s="360"/>
      <c r="AH135" s="360"/>
    </row>
    <row r="136" spans="1:34" ht="15" customHeight="1" x14ac:dyDescent="0.25">
      <c r="A136" s="1194" t="s">
        <v>622</v>
      </c>
      <c r="B136" s="1194"/>
      <c r="C136" s="1194"/>
      <c r="D136" s="1194"/>
      <c r="E136" s="1194"/>
      <c r="F136" s="1194"/>
      <c r="G136" s="380">
        <f>+G134+G113+G98+G93+G54+G21+G9</f>
        <v>13293000000</v>
      </c>
      <c r="H136" s="1233"/>
      <c r="I136" s="1248"/>
      <c r="J136" s="1248"/>
      <c r="K136" s="1233"/>
      <c r="L136" s="1248"/>
      <c r="M136" s="133"/>
      <c r="N136" s="133"/>
      <c r="O136" s="267"/>
      <c r="P136" s="650"/>
      <c r="Q136" s="267"/>
      <c r="R136" s="267"/>
      <c r="S136" s="644">
        <f>+S134+S113+S98+S93+S54+S21+S9</f>
        <v>13839000000</v>
      </c>
      <c r="T136" s="380">
        <f>SUM(T4:T133)</f>
        <v>23079000000</v>
      </c>
      <c r="U136" s="1233"/>
      <c r="V136" s="1248"/>
      <c r="W136" s="1248"/>
      <c r="X136" s="1248"/>
      <c r="Y136" s="1266"/>
      <c r="Z136" s="1233" t="s">
        <v>622</v>
      </c>
      <c r="AA136" s="1248"/>
      <c r="AB136" s="380" t="e">
        <f>+AB134+AB113+AB98+AB93+AB54+AB21+AB9</f>
        <v>#REF!</v>
      </c>
      <c r="AC136" s="380" t="e">
        <f>+AC134+AC113+AC98+AC93+AC54+AC21+AC9</f>
        <v>#REF!</v>
      </c>
      <c r="AD136" s="133"/>
      <c r="AE136" s="133"/>
      <c r="AF136" s="1194"/>
      <c r="AG136" s="1194" t="e">
        <f>+#REF!-#REF!</f>
        <v>#REF!</v>
      </c>
      <c r="AH136" s="1194"/>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76" t="s">
        <v>3302</v>
      </c>
      <c r="B138" s="1277"/>
      <c r="C138" s="1277"/>
      <c r="D138" s="1277"/>
      <c r="E138" s="1277"/>
      <c r="F138" s="1278"/>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76" t="s">
        <v>3302</v>
      </c>
      <c r="V138" s="1277"/>
      <c r="W138" s="1277"/>
      <c r="X138" s="1277"/>
      <c r="Y138" s="1277"/>
      <c r="Z138" s="1277"/>
      <c r="AA138" s="1278"/>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76" t="s">
        <v>3303</v>
      </c>
      <c r="B139" s="1277"/>
      <c r="C139" s="1277"/>
      <c r="D139" s="1277"/>
      <c r="E139" s="1277"/>
      <c r="F139" s="1278"/>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76" t="s">
        <v>3303</v>
      </c>
      <c r="V139" s="1277"/>
      <c r="W139" s="1277"/>
      <c r="X139" s="1277"/>
      <c r="Y139" s="1277"/>
      <c r="Z139" s="1277"/>
      <c r="AA139" s="1278"/>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76" t="s">
        <v>3304</v>
      </c>
      <c r="B140" s="1277"/>
      <c r="C140" s="1277"/>
      <c r="D140" s="1277"/>
      <c r="E140" s="1277"/>
      <c r="F140" s="1278"/>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76" t="s">
        <v>3304</v>
      </c>
      <c r="V140" s="1277"/>
      <c r="W140" s="1277"/>
      <c r="X140" s="1277"/>
      <c r="Y140" s="1277"/>
      <c r="Z140" s="1277"/>
      <c r="AA140" s="1278"/>
      <c r="AB140" s="133" t="e">
        <f>SUMIF($AF$4:$AF$133,"310",$AB$4:$AB$133)</f>
        <v>#REF!</v>
      </c>
      <c r="AC140" s="133" t="e">
        <f>SUMIF($AF$4:$AF$133,"310",$AC$4:$AC$133)</f>
        <v>#REF!</v>
      </c>
      <c r="AD140" s="133"/>
      <c r="AE140" s="133"/>
      <c r="AF140" s="296">
        <v>310</v>
      </c>
      <c r="AG140" s="133" t="e">
        <f>SUMIF($AF$4:$AF$133,"310",$AG$4:$AG$133)</f>
        <v>#REF!</v>
      </c>
      <c r="AH140" s="133"/>
    </row>
    <row r="141" spans="1:34" x14ac:dyDescent="0.25">
      <c r="A141" s="1273" t="s">
        <v>443</v>
      </c>
      <c r="B141" s="1274"/>
      <c r="C141" s="1274"/>
      <c r="D141" s="1274"/>
      <c r="E141" s="1274"/>
      <c r="F141" s="1275"/>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73" t="s">
        <v>443</v>
      </c>
      <c r="V141" s="1274"/>
      <c r="W141" s="1274"/>
      <c r="X141" s="1274"/>
      <c r="Y141" s="1274"/>
      <c r="Z141" s="1274"/>
      <c r="AA141" s="1275"/>
      <c r="AB141" s="133" t="e">
        <f>SUMIF($AF$4:$AF$133,"410",$AB$4:$AB$133)</f>
        <v>#REF!</v>
      </c>
      <c r="AC141" s="133" t="e">
        <f>SUMIF($AF$4:$AF$133,"410",$AC$4:$AC$133)</f>
        <v>#REF!</v>
      </c>
      <c r="AD141" s="133"/>
      <c r="AE141" s="133"/>
      <c r="AF141" s="296">
        <v>410</v>
      </c>
      <c r="AG141" s="133" t="e">
        <f>SUMIF($AF$4:$AF$133,"410",$AG$4:$AG$133)</f>
        <v>#REF!</v>
      </c>
      <c r="AH141" s="133"/>
    </row>
    <row r="142" spans="1:34" x14ac:dyDescent="0.25">
      <c r="A142" s="1273" t="s">
        <v>3305</v>
      </c>
      <c r="B142" s="1274"/>
      <c r="C142" s="1274"/>
      <c r="D142" s="1274"/>
      <c r="E142" s="1274"/>
      <c r="F142" s="1275"/>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73" t="s">
        <v>3305</v>
      </c>
      <c r="V142" s="1274"/>
      <c r="W142" s="1274"/>
      <c r="X142" s="1274"/>
      <c r="Y142" s="1274"/>
      <c r="Z142" s="1274"/>
      <c r="AA142" s="1275"/>
      <c r="AB142" s="133" t="e">
        <f>SUMIF($AF$4:$AF$133,"510",$AB$4:$AB$133)</f>
        <v>#REF!</v>
      </c>
      <c r="AC142" s="133" t="e">
        <f>SUMIF($AF$4:$AF$133,"510",$AC$4:$AC$133)</f>
        <v>#REF!</v>
      </c>
      <c r="AD142" s="133"/>
      <c r="AE142" s="133"/>
      <c r="AF142" s="296">
        <v>510</v>
      </c>
      <c r="AG142" s="133" t="e">
        <f>SUMIF($AF$4:$AF$133,"510",$AG$4:$AG$133)</f>
        <v>#REF!</v>
      </c>
      <c r="AH142" s="133"/>
    </row>
    <row r="143" spans="1:34" x14ac:dyDescent="0.25">
      <c r="A143" s="1273" t="s">
        <v>3306</v>
      </c>
      <c r="B143" s="1274"/>
      <c r="C143" s="1274"/>
      <c r="D143" s="1274"/>
      <c r="E143" s="1274"/>
      <c r="F143" s="1275"/>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73" t="s">
        <v>3306</v>
      </c>
      <c r="V143" s="1274"/>
      <c r="W143" s="1274"/>
      <c r="X143" s="1274"/>
      <c r="Y143" s="1274"/>
      <c r="Z143" s="1274"/>
      <c r="AA143" s="1275"/>
      <c r="AB143" s="133" t="e">
        <f>SUMIF($AF$4:$AF$133,"520",$AB$4:$AB$133)</f>
        <v>#REF!</v>
      </c>
      <c r="AC143" s="133" t="e">
        <f>SUMIF($AF$4:$AF$133,"520",$AC$4:$AC$133)</f>
        <v>#REF!</v>
      </c>
      <c r="AD143" s="133"/>
      <c r="AE143" s="133"/>
      <c r="AF143" s="296">
        <v>520</v>
      </c>
      <c r="AG143" s="133" t="e">
        <f>SUMIF($AF$4:$AF$133,"520",$AG$4:$AG$133)</f>
        <v>#REF!</v>
      </c>
      <c r="AH143" s="133"/>
    </row>
    <row r="144" spans="1:34" x14ac:dyDescent="0.25">
      <c r="A144" s="1273" t="s">
        <v>3308</v>
      </c>
      <c r="B144" s="1274"/>
      <c r="C144" s="1274"/>
      <c r="D144" s="1274"/>
      <c r="E144" s="1274"/>
      <c r="F144" s="1275"/>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73" t="s">
        <v>3308</v>
      </c>
      <c r="V144" s="1274"/>
      <c r="W144" s="1274"/>
      <c r="X144" s="1274"/>
      <c r="Y144" s="1274"/>
      <c r="Z144" s="1274"/>
      <c r="AA144" s="1275"/>
      <c r="AB144" s="3" t="e">
        <f>SUM(AB138:AB143)</f>
        <v>#REF!</v>
      </c>
      <c r="AC144" s="3" t="e">
        <f>SUM(AC138:AC143)</f>
        <v>#REF!</v>
      </c>
      <c r="AD144" s="3"/>
      <c r="AE144" s="3"/>
      <c r="AF144" s="4"/>
      <c r="AG144" s="3" t="e">
        <f>SUM(AG138:AG143)</f>
        <v>#REF!</v>
      </c>
      <c r="AH144" s="3"/>
    </row>
    <row r="145" spans="1:34" x14ac:dyDescent="0.25">
      <c r="A145" s="1273" t="s">
        <v>3307</v>
      </c>
      <c r="B145" s="1274"/>
      <c r="C145" s="1274"/>
      <c r="D145" s="1274"/>
      <c r="E145" s="1274"/>
      <c r="F145" s="1275"/>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73" t="s">
        <v>3307</v>
      </c>
      <c r="V145" s="1274"/>
      <c r="W145" s="1274"/>
      <c r="X145" s="1274"/>
      <c r="Y145" s="1274"/>
      <c r="Z145" s="1274"/>
      <c r="AA145" s="1275"/>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H136:J136"/>
    <mergeCell ref="K136:L136"/>
    <mergeCell ref="U136:Y136"/>
    <mergeCell ref="Z136:AA136"/>
    <mergeCell ref="AF136:AH136"/>
    <mergeCell ref="U131:U133"/>
    <mergeCell ref="V131:V133"/>
    <mergeCell ref="X131:X133"/>
    <mergeCell ref="AH131:AH133"/>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F56:F58"/>
    <mergeCell ref="U60:U62"/>
    <mergeCell ref="V60:V62"/>
    <mergeCell ref="AH49:AH51"/>
    <mergeCell ref="A54:F54"/>
    <mergeCell ref="H54:J54"/>
    <mergeCell ref="K54:L54"/>
    <mergeCell ref="U54:Y54"/>
    <mergeCell ref="Z54:AA54"/>
    <mergeCell ref="AF54:AH54"/>
    <mergeCell ref="A47:A48"/>
    <mergeCell ref="B47:B48"/>
    <mergeCell ref="C47:C48"/>
    <mergeCell ref="D47:D48"/>
    <mergeCell ref="F43:F46"/>
    <mergeCell ref="G43:G46"/>
    <mergeCell ref="H43:H46"/>
    <mergeCell ref="I43:I46"/>
    <mergeCell ref="J43:J46"/>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492"/>
      <c r="H1" s="1492"/>
      <c r="I1" s="1492"/>
      <c r="J1" s="1492"/>
      <c r="K1" s="1492"/>
      <c r="L1" s="1492"/>
      <c r="M1" s="1492"/>
      <c r="N1" s="1492"/>
      <c r="O1" s="1492"/>
      <c r="P1" s="876"/>
      <c r="Q1" s="895"/>
      <c r="R1" s="895"/>
      <c r="S1" s="895"/>
      <c r="T1" s="895"/>
      <c r="U1" s="895"/>
      <c r="V1" s="895"/>
      <c r="W1" s="895"/>
      <c r="X1" s="1490"/>
      <c r="Y1" s="1490"/>
      <c r="Z1" s="1490"/>
      <c r="AA1" s="1490"/>
      <c r="AB1" s="1490"/>
      <c r="AC1" s="1490"/>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200" t="s">
        <v>3139</v>
      </c>
      <c r="B3" s="1200"/>
      <c r="C3" s="1200" t="s">
        <v>4179</v>
      </c>
      <c r="D3" s="1481" t="s">
        <v>4171</v>
      </c>
      <c r="E3" s="1482"/>
      <c r="F3" s="1483"/>
      <c r="G3" s="1201" t="s">
        <v>4174</v>
      </c>
      <c r="H3" s="1201"/>
      <c r="I3" s="1201" t="s">
        <v>4175</v>
      </c>
      <c r="J3" s="1201" t="s">
        <v>4176</v>
      </c>
      <c r="K3" s="1201"/>
      <c r="L3" s="1201"/>
      <c r="M3" s="893"/>
      <c r="N3" s="893"/>
      <c r="O3" s="1426" t="s">
        <v>447</v>
      </c>
      <c r="P3" s="1486" t="s">
        <v>3347</v>
      </c>
      <c r="Q3" s="1427" t="s">
        <v>3333</v>
      </c>
      <c r="R3" s="1428"/>
      <c r="S3" s="1428"/>
      <c r="T3" s="1428"/>
      <c r="U3" s="1428"/>
      <c r="V3" s="1428"/>
      <c r="W3" s="1428" t="s">
        <v>3333</v>
      </c>
      <c r="X3" s="1428"/>
      <c r="Y3" s="1428"/>
      <c r="Z3" s="1428"/>
      <c r="AA3" s="1428"/>
      <c r="AB3" s="1428"/>
      <c r="AC3" s="1429"/>
    </row>
    <row r="4" spans="1:31" ht="64.900000000000006" customHeight="1" x14ac:dyDescent="0.25">
      <c r="A4" s="1200"/>
      <c r="B4" s="1200"/>
      <c r="C4" s="1200"/>
      <c r="D4" s="866" t="s">
        <v>4178</v>
      </c>
      <c r="E4" s="866" t="s">
        <v>4173</v>
      </c>
      <c r="F4" s="866" t="s">
        <v>4172</v>
      </c>
      <c r="G4" s="867" t="s">
        <v>1</v>
      </c>
      <c r="H4" s="867" t="s">
        <v>4174</v>
      </c>
      <c r="I4" s="1201"/>
      <c r="J4" s="867" t="s">
        <v>4178</v>
      </c>
      <c r="K4" s="867" t="s">
        <v>4173</v>
      </c>
      <c r="L4" s="867" t="s">
        <v>4177</v>
      </c>
      <c r="M4" s="867" t="s">
        <v>460</v>
      </c>
      <c r="N4" s="867" t="s">
        <v>462</v>
      </c>
      <c r="O4" s="1426"/>
      <c r="P4" s="1486"/>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194" t="s">
        <v>3087</v>
      </c>
      <c r="B5" s="1194" t="s">
        <v>3194</v>
      </c>
      <c r="C5" s="1194" t="str">
        <f>+'PLANINDICATIVO PD MAYO'!J3</f>
        <v>REVISIÓN 100% DE LA NORMATIVIDAD VIGENTE Y REESTRUCTURACIÓN ACADÉMICO - ADMINISTRATIVA</v>
      </c>
      <c r="D5" s="1194" t="s">
        <v>3275</v>
      </c>
      <c r="E5" s="1194"/>
      <c r="F5" s="1491">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194"/>
      <c r="B6" s="1194"/>
      <c r="C6" s="1194"/>
      <c r="D6" s="1194"/>
      <c r="E6" s="1194"/>
      <c r="F6" s="1491"/>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72" t="s">
        <v>4221</v>
      </c>
      <c r="B7" s="1243"/>
      <c r="C7" s="1243"/>
      <c r="D7" s="1243"/>
      <c r="E7" s="1243"/>
      <c r="F7" s="1243"/>
      <c r="G7" s="1243"/>
      <c r="H7" s="1243"/>
      <c r="I7" s="1243"/>
      <c r="J7" s="1243"/>
      <c r="K7" s="1243"/>
      <c r="L7" s="1243"/>
      <c r="M7" s="1243"/>
      <c r="N7" s="1243"/>
      <c r="O7" s="1243"/>
      <c r="P7" s="1480"/>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194" t="s">
        <v>3091</v>
      </c>
      <c r="B8" s="1194" t="s">
        <v>3092</v>
      </c>
      <c r="C8" s="1191" t="str">
        <f>+'PLANINDICATIVO PD MAYO'!J5</f>
        <v xml:space="preserve">CONSOLIDACIÓN DE LA CULTURA DE LA COMUNICACIÓN (VER METAS EN TRANSVERSALIDAD 1) </v>
      </c>
      <c r="D8" s="1194" t="s">
        <v>3276</v>
      </c>
      <c r="E8" s="1194"/>
      <c r="F8" s="1491">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194"/>
      <c r="B9" s="1194"/>
      <c r="C9" s="1192"/>
      <c r="D9" s="1194"/>
      <c r="E9" s="1194"/>
      <c r="F9" s="1491"/>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194"/>
      <c r="B10" s="1194"/>
      <c r="C10" s="1192"/>
      <c r="D10" s="1194"/>
      <c r="E10" s="1194"/>
      <c r="F10" s="1491"/>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194"/>
      <c r="B11" s="1194"/>
      <c r="C11" s="1192"/>
      <c r="D11" s="1194"/>
      <c r="E11" s="1194"/>
      <c r="F11" s="1491"/>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194"/>
      <c r="B12" s="1194"/>
      <c r="C12" s="1193"/>
      <c r="D12" s="1194"/>
      <c r="E12" s="1194"/>
      <c r="F12" s="1491"/>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72" t="s">
        <v>4286</v>
      </c>
      <c r="B13" s="1243"/>
      <c r="C13" s="1243"/>
      <c r="D13" s="1243"/>
      <c r="E13" s="1243"/>
      <c r="F13" s="1243"/>
      <c r="G13" s="1243"/>
      <c r="H13" s="1243"/>
      <c r="I13" s="1243"/>
      <c r="J13" s="1243"/>
      <c r="K13" s="1243"/>
      <c r="L13" s="1243"/>
      <c r="M13" s="1243"/>
      <c r="N13" s="1243"/>
      <c r="O13" s="1243"/>
      <c r="P13" s="1480"/>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191" t="s">
        <v>4285</v>
      </c>
      <c r="B14" s="1191"/>
      <c r="C14" s="1191"/>
      <c r="D14" s="1191"/>
      <c r="E14" s="1191"/>
      <c r="F14" s="1191"/>
      <c r="G14" s="1191"/>
      <c r="H14" s="1191"/>
      <c r="I14" s="1191"/>
      <c r="J14" s="1191"/>
      <c r="K14" s="1191"/>
      <c r="L14" s="1191"/>
      <c r="M14" s="1191"/>
      <c r="N14" s="1191"/>
      <c r="O14" s="1191"/>
      <c r="P14" s="1191"/>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48" t="s">
        <v>4223</v>
      </c>
      <c r="B15" s="1248"/>
      <c r="C15" s="1248"/>
      <c r="D15" s="1248"/>
      <c r="E15" s="1248"/>
      <c r="F15" s="1248"/>
      <c r="G15" s="1248"/>
      <c r="H15" s="1248"/>
      <c r="I15" s="1248"/>
      <c r="J15" s="1248"/>
      <c r="K15" s="1248"/>
      <c r="L15" s="1248"/>
      <c r="M15" s="1248"/>
      <c r="N15" s="1248"/>
      <c r="O15" s="1248"/>
      <c r="P15" s="1266"/>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200" t="s">
        <v>3139</v>
      </c>
      <c r="B18" s="1200"/>
      <c r="C18" s="1200" t="s">
        <v>4179</v>
      </c>
      <c r="D18" s="1481" t="s">
        <v>4171</v>
      </c>
      <c r="E18" s="1482"/>
      <c r="F18" s="1483"/>
      <c r="G18" s="1201" t="s">
        <v>4174</v>
      </c>
      <c r="H18" s="1201"/>
      <c r="I18" s="1201" t="s">
        <v>4175</v>
      </c>
      <c r="J18" s="1201" t="s">
        <v>4176</v>
      </c>
      <c r="K18" s="1201"/>
      <c r="L18" s="1201"/>
      <c r="M18" s="893"/>
      <c r="N18" s="893"/>
      <c r="O18" s="1426" t="s">
        <v>447</v>
      </c>
      <c r="P18" s="1486" t="s">
        <v>3347</v>
      </c>
      <c r="Q18" s="1427" t="s">
        <v>3333</v>
      </c>
      <c r="R18" s="1428"/>
      <c r="S18" s="1428"/>
      <c r="T18" s="1428"/>
      <c r="U18" s="1428"/>
      <c r="V18" s="1428"/>
      <c r="W18" s="1428" t="s">
        <v>3333</v>
      </c>
      <c r="X18" s="1428"/>
      <c r="Y18" s="1428"/>
      <c r="Z18" s="1428"/>
      <c r="AA18" s="1428"/>
      <c r="AB18" s="1428"/>
      <c r="AC18" s="1429"/>
    </row>
    <row r="19" spans="1:31" ht="43.9" customHeight="1" x14ac:dyDescent="0.25">
      <c r="A19" s="1200"/>
      <c r="B19" s="1200"/>
      <c r="C19" s="1200"/>
      <c r="D19" s="866" t="s">
        <v>4178</v>
      </c>
      <c r="E19" s="866" t="s">
        <v>4173</v>
      </c>
      <c r="F19" s="866" t="s">
        <v>4172</v>
      </c>
      <c r="G19" s="867" t="s">
        <v>1</v>
      </c>
      <c r="H19" s="867" t="s">
        <v>4174</v>
      </c>
      <c r="I19" s="1201"/>
      <c r="J19" s="867" t="s">
        <v>4178</v>
      </c>
      <c r="K19" s="867" t="s">
        <v>4173</v>
      </c>
      <c r="L19" s="867" t="s">
        <v>4177</v>
      </c>
      <c r="M19" s="867" t="s">
        <v>460</v>
      </c>
      <c r="N19" s="867" t="s">
        <v>462</v>
      </c>
      <c r="O19" s="1426"/>
      <c r="P19" s="1486"/>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194" t="s">
        <v>3106</v>
      </c>
      <c r="B20" s="1194" t="s">
        <v>3700</v>
      </c>
      <c r="C20" s="1194" t="str">
        <f>+'PLANINDICATIVO PD MAYO'!J8</f>
        <v>21 PROGRAMAS ACOMPAÑADOS</v>
      </c>
      <c r="D20" s="1194" t="s">
        <v>3638</v>
      </c>
      <c r="E20" s="1194"/>
      <c r="F20" s="1488">
        <f>+'PLANINDICATIVO PD MAYO'!O8</f>
        <v>7</v>
      </c>
      <c r="G20" s="811" t="s">
        <v>3771</v>
      </c>
      <c r="H20" s="165" t="s">
        <v>3770</v>
      </c>
      <c r="I20" s="858" t="s">
        <v>4198</v>
      </c>
      <c r="J20" s="165" t="s">
        <v>4197</v>
      </c>
      <c r="K20" s="165"/>
      <c r="L20" s="165"/>
      <c r="M20" s="166"/>
      <c r="N20" s="167"/>
      <c r="O20" s="152">
        <v>520</v>
      </c>
      <c r="P20" s="1252"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194"/>
      <c r="B21" s="1194"/>
      <c r="C21" s="1194"/>
      <c r="D21" s="1194"/>
      <c r="E21" s="1194"/>
      <c r="F21" s="1194"/>
      <c r="G21" s="811" t="s">
        <v>3772</v>
      </c>
      <c r="H21" s="165" t="s">
        <v>3774</v>
      </c>
      <c r="I21" s="165" t="s">
        <v>4200</v>
      </c>
      <c r="J21" s="165" t="s">
        <v>4199</v>
      </c>
      <c r="K21" s="165"/>
      <c r="L21" s="165"/>
      <c r="M21" s="166"/>
      <c r="N21" s="167"/>
      <c r="O21" s="561">
        <v>520</v>
      </c>
      <c r="P21" s="1252"/>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194"/>
      <c r="B22" s="1194"/>
      <c r="C22" s="1194"/>
      <c r="D22" s="1194"/>
      <c r="E22" s="1194"/>
      <c r="F22" s="1194"/>
      <c r="G22" s="811" t="s">
        <v>3773</v>
      </c>
      <c r="H22" s="165" t="s">
        <v>3416</v>
      </c>
      <c r="I22" s="165"/>
      <c r="J22" s="165"/>
      <c r="K22" s="165"/>
      <c r="L22" s="165"/>
      <c r="M22" s="166"/>
      <c r="N22" s="167"/>
      <c r="O22" s="561">
        <v>520</v>
      </c>
      <c r="P22" s="1252"/>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194"/>
      <c r="B23" s="1194"/>
      <c r="C23" s="1194"/>
      <c r="D23" s="1194"/>
      <c r="E23" s="1194"/>
      <c r="F23" s="1194"/>
      <c r="G23" s="811" t="s">
        <v>3775</v>
      </c>
      <c r="H23" s="165" t="s">
        <v>3776</v>
      </c>
      <c r="I23" s="165" t="s">
        <v>4202</v>
      </c>
      <c r="J23" s="165" t="s">
        <v>4201</v>
      </c>
      <c r="K23" s="165"/>
      <c r="L23" s="165"/>
      <c r="M23" s="166"/>
      <c r="N23" s="167"/>
      <c r="O23" s="561">
        <v>520</v>
      </c>
      <c r="P23" s="1252"/>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194"/>
      <c r="B24" s="1194"/>
      <c r="C24" s="1194"/>
      <c r="D24" s="1194"/>
      <c r="E24" s="1194"/>
      <c r="F24" s="1194"/>
      <c r="G24" s="811" t="s">
        <v>3778</v>
      </c>
      <c r="H24" s="165" t="s">
        <v>3777</v>
      </c>
      <c r="I24" s="165" t="s">
        <v>4204</v>
      </c>
      <c r="J24" s="859" t="s">
        <v>4203</v>
      </c>
      <c r="K24" s="165"/>
      <c r="L24" s="165"/>
      <c r="M24" s="166"/>
      <c r="N24" s="167"/>
      <c r="O24" s="561">
        <v>520</v>
      </c>
      <c r="P24" s="1252"/>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194"/>
      <c r="B25" s="1194"/>
      <c r="C25" s="1194"/>
      <c r="D25" s="1194"/>
      <c r="E25" s="1194"/>
      <c r="F25" s="1194"/>
      <c r="G25" s="811" t="s">
        <v>3779</v>
      </c>
      <c r="H25" s="165" t="s">
        <v>3780</v>
      </c>
      <c r="I25" s="165"/>
      <c r="J25" s="165"/>
      <c r="K25" s="165"/>
      <c r="L25" s="165"/>
      <c r="M25" s="166"/>
      <c r="N25" s="167"/>
      <c r="O25" s="561">
        <v>520</v>
      </c>
      <c r="P25" s="1253"/>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72" t="s">
        <v>4219</v>
      </c>
      <c r="B26" s="1243"/>
      <c r="C26" s="1243"/>
      <c r="D26" s="1243"/>
      <c r="E26" s="1243"/>
      <c r="F26" s="1243"/>
      <c r="G26" s="1243"/>
      <c r="H26" s="1243"/>
      <c r="I26" s="1243"/>
      <c r="J26" s="1243"/>
      <c r="K26" s="1243"/>
      <c r="L26" s="1243"/>
      <c r="M26" s="1243"/>
      <c r="N26" s="1243"/>
      <c r="O26" s="1243"/>
      <c r="P26" s="1480"/>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194" t="s">
        <v>3099</v>
      </c>
      <c r="B27" s="1194"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406"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194"/>
      <c r="B28" s="1194"/>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406"/>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406"/>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72" t="s">
        <v>4224</v>
      </c>
      <c r="B30" s="1243"/>
      <c r="C30" s="1243"/>
      <c r="D30" s="1243"/>
      <c r="E30" s="1243"/>
      <c r="F30" s="1243"/>
      <c r="G30" s="1243"/>
      <c r="H30" s="1243"/>
      <c r="I30" s="1243"/>
      <c r="J30" s="1243"/>
      <c r="K30" s="1243"/>
      <c r="L30" s="1243"/>
      <c r="M30" s="1243"/>
      <c r="N30" s="1243"/>
      <c r="O30" s="1243"/>
      <c r="P30" s="1480"/>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33" t="s">
        <v>4225</v>
      </c>
      <c r="B31" s="1248"/>
      <c r="C31" s="1248"/>
      <c r="D31" s="1248"/>
      <c r="E31" s="1248"/>
      <c r="F31" s="1248"/>
      <c r="G31" s="1248"/>
      <c r="H31" s="1248"/>
      <c r="I31" s="1248"/>
      <c r="J31" s="1248"/>
      <c r="K31" s="1248"/>
      <c r="L31" s="1248"/>
      <c r="M31" s="1248"/>
      <c r="N31" s="1248"/>
      <c r="O31" s="1248"/>
      <c r="P31" s="1266"/>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200" t="s">
        <v>3139</v>
      </c>
      <c r="B34" s="1200"/>
      <c r="C34" s="1200" t="s">
        <v>4179</v>
      </c>
      <c r="D34" s="1481" t="s">
        <v>4171</v>
      </c>
      <c r="E34" s="1482"/>
      <c r="F34" s="1483"/>
      <c r="G34" s="1201" t="s">
        <v>4174</v>
      </c>
      <c r="H34" s="1201"/>
      <c r="I34" s="1201" t="s">
        <v>4175</v>
      </c>
      <c r="J34" s="1201" t="s">
        <v>4176</v>
      </c>
      <c r="K34" s="1201"/>
      <c r="L34" s="1201"/>
      <c r="M34" s="893"/>
      <c r="N34" s="893"/>
      <c r="O34" s="1426" t="s">
        <v>447</v>
      </c>
      <c r="P34" s="1486" t="s">
        <v>3347</v>
      </c>
      <c r="Q34" s="1487" t="s">
        <v>3333</v>
      </c>
      <c r="R34" s="1487"/>
      <c r="S34" s="1487"/>
      <c r="T34" s="1487"/>
      <c r="U34" s="1487"/>
      <c r="V34" s="1487"/>
      <c r="W34" s="1487" t="s">
        <v>3333</v>
      </c>
      <c r="X34" s="1487"/>
      <c r="Y34" s="1487"/>
      <c r="Z34" s="1487"/>
      <c r="AA34" s="1487"/>
      <c r="AB34" s="1487"/>
      <c r="AC34" s="1487"/>
    </row>
    <row r="35" spans="1:29" ht="42" customHeight="1" x14ac:dyDescent="0.25">
      <c r="A35" s="1200"/>
      <c r="B35" s="1200"/>
      <c r="C35" s="1200"/>
      <c r="D35" s="866" t="s">
        <v>4178</v>
      </c>
      <c r="E35" s="866" t="s">
        <v>4173</v>
      </c>
      <c r="F35" s="866" t="s">
        <v>4172</v>
      </c>
      <c r="G35" s="867" t="s">
        <v>1</v>
      </c>
      <c r="H35" s="867" t="s">
        <v>4174</v>
      </c>
      <c r="I35" s="1201"/>
      <c r="J35" s="867" t="s">
        <v>4178</v>
      </c>
      <c r="K35" s="867" t="s">
        <v>4173</v>
      </c>
      <c r="L35" s="867" t="s">
        <v>4177</v>
      </c>
      <c r="M35" s="867" t="s">
        <v>460</v>
      </c>
      <c r="N35" s="867" t="s">
        <v>462</v>
      </c>
      <c r="O35" s="1426"/>
      <c r="P35" s="1486"/>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488" t="s">
        <v>2927</v>
      </c>
      <c r="B36" s="1488" t="s">
        <v>4180</v>
      </c>
      <c r="C36" s="1488" t="str">
        <f>+'PLANINDICATIVO PD MAYO'!J15</f>
        <v>AUMENTAR A 16 LOS PROGRAMAS ACREDITADOS</v>
      </c>
      <c r="D36" s="1488" t="s">
        <v>3217</v>
      </c>
      <c r="E36" s="1488"/>
      <c r="F36" s="1488">
        <f>+'PLANINDICATIVO PD MAYO'!O15</f>
        <v>3</v>
      </c>
      <c r="G36" s="868" t="s">
        <v>3786</v>
      </c>
      <c r="H36" s="165" t="s">
        <v>3785</v>
      </c>
      <c r="I36" s="859" t="s">
        <v>4211</v>
      </c>
      <c r="J36" s="165" t="s">
        <v>4210</v>
      </c>
      <c r="K36" s="165"/>
      <c r="L36" s="165"/>
      <c r="M36" s="166">
        <v>50000000</v>
      </c>
      <c r="N36" s="166">
        <v>51737900</v>
      </c>
      <c r="O36" s="561">
        <v>510</v>
      </c>
      <c r="P36" s="1251"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488"/>
      <c r="B37" s="1488"/>
      <c r="C37" s="1488"/>
      <c r="D37" s="1488"/>
      <c r="E37" s="1488"/>
      <c r="F37" s="1488"/>
      <c r="G37" s="868" t="s">
        <v>3787</v>
      </c>
      <c r="H37" s="154" t="s">
        <v>3797</v>
      </c>
      <c r="I37" s="859" t="s">
        <v>4211</v>
      </c>
      <c r="J37" s="154" t="s">
        <v>4210</v>
      </c>
      <c r="K37" s="154"/>
      <c r="L37" s="154"/>
      <c r="M37" s="170">
        <v>0</v>
      </c>
      <c r="N37" s="155">
        <v>18000000</v>
      </c>
      <c r="O37" s="561">
        <v>510</v>
      </c>
      <c r="P37" s="1252"/>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488"/>
      <c r="B38" s="1488"/>
      <c r="C38" s="1488"/>
      <c r="D38" s="1488"/>
      <c r="E38" s="1488"/>
      <c r="F38" s="1488"/>
      <c r="G38" s="868" t="s">
        <v>3788</v>
      </c>
      <c r="H38" s="154" t="s">
        <v>3798</v>
      </c>
      <c r="I38" s="154"/>
      <c r="J38" s="154" t="s">
        <v>4212</v>
      </c>
      <c r="K38" s="154"/>
      <c r="L38" s="154"/>
      <c r="M38" s="170"/>
      <c r="N38" s="155"/>
      <c r="O38" s="561">
        <v>510</v>
      </c>
      <c r="P38" s="1252"/>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488"/>
      <c r="B39" s="1488"/>
      <c r="C39" s="1488"/>
      <c r="D39" s="1488"/>
      <c r="E39" s="1488"/>
      <c r="F39" s="1488"/>
      <c r="G39" s="868" t="s">
        <v>3789</v>
      </c>
      <c r="H39" s="154" t="s">
        <v>3799</v>
      </c>
      <c r="I39" s="154"/>
      <c r="J39" s="154" t="s">
        <v>4212</v>
      </c>
      <c r="K39" s="154"/>
      <c r="L39" s="154"/>
      <c r="M39" s="170"/>
      <c r="N39" s="155"/>
      <c r="O39" s="561">
        <v>510</v>
      </c>
      <c r="P39" s="1252"/>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488"/>
      <c r="B40" s="1488"/>
      <c r="C40" s="1488"/>
      <c r="D40" s="1488"/>
      <c r="E40" s="1488"/>
      <c r="F40" s="1488"/>
      <c r="G40" s="868" t="s">
        <v>3790</v>
      </c>
      <c r="H40" s="154" t="s">
        <v>3824</v>
      </c>
      <c r="I40" s="154"/>
      <c r="J40" s="154" t="s">
        <v>4210</v>
      </c>
      <c r="K40" s="154"/>
      <c r="L40" s="154"/>
      <c r="M40" s="170"/>
      <c r="N40" s="155"/>
      <c r="O40" s="561">
        <v>510</v>
      </c>
      <c r="P40" s="1252"/>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488"/>
      <c r="B41" s="1488"/>
      <c r="C41" s="1488"/>
      <c r="D41" s="1488"/>
      <c r="E41" s="1488"/>
      <c r="F41" s="1488"/>
      <c r="G41" s="868" t="s">
        <v>3791</v>
      </c>
      <c r="H41" s="154" t="s">
        <v>3800</v>
      </c>
      <c r="I41" s="154"/>
      <c r="J41" s="154" t="s">
        <v>4212</v>
      </c>
      <c r="K41" s="154"/>
      <c r="L41" s="154"/>
      <c r="M41" s="170"/>
      <c r="N41" s="155"/>
      <c r="O41" s="561">
        <v>510</v>
      </c>
      <c r="P41" s="1252"/>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488"/>
      <c r="B42" s="1488"/>
      <c r="C42" s="1488"/>
      <c r="D42" s="1488"/>
      <c r="E42" s="1488"/>
      <c r="F42" s="1488"/>
      <c r="G42" s="868" t="s">
        <v>3792</v>
      </c>
      <c r="H42" s="154" t="s">
        <v>3801</v>
      </c>
      <c r="I42" s="154"/>
      <c r="J42" s="154" t="s">
        <v>4212</v>
      </c>
      <c r="K42" s="154"/>
      <c r="L42" s="154"/>
      <c r="M42" s="170"/>
      <c r="N42" s="155"/>
      <c r="O42" s="561">
        <v>510</v>
      </c>
      <c r="P42" s="1252"/>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488"/>
      <c r="B43" s="1488"/>
      <c r="C43" s="1488"/>
      <c r="D43" s="1488"/>
      <c r="E43" s="1488"/>
      <c r="F43" s="1488"/>
      <c r="G43" s="868" t="s">
        <v>3793</v>
      </c>
      <c r="H43" s="154" t="s">
        <v>3802</v>
      </c>
      <c r="I43" s="154"/>
      <c r="J43" s="154" t="s">
        <v>4212</v>
      </c>
      <c r="K43" s="154"/>
      <c r="L43" s="154"/>
      <c r="M43" s="170"/>
      <c r="N43" s="155"/>
      <c r="O43" s="561">
        <v>510</v>
      </c>
      <c r="P43" s="1252"/>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488"/>
      <c r="B44" s="1488"/>
      <c r="C44" s="1488"/>
      <c r="D44" s="1488"/>
      <c r="E44" s="1488"/>
      <c r="F44" s="1488"/>
      <c r="G44" s="868" t="s">
        <v>3794</v>
      </c>
      <c r="H44" s="154" t="s">
        <v>3803</v>
      </c>
      <c r="I44" s="154"/>
      <c r="J44" s="154" t="s">
        <v>4212</v>
      </c>
      <c r="K44" s="154"/>
      <c r="L44" s="154"/>
      <c r="M44" s="170"/>
      <c r="N44" s="155"/>
      <c r="O44" s="561">
        <v>510</v>
      </c>
      <c r="P44" s="1406"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488"/>
      <c r="B45" s="1488"/>
      <c r="C45" s="1488"/>
      <c r="D45" s="1488"/>
      <c r="E45" s="1488"/>
      <c r="F45" s="1488"/>
      <c r="G45" s="868" t="s">
        <v>3795</v>
      </c>
      <c r="H45" s="154" t="s">
        <v>3804</v>
      </c>
      <c r="I45" s="154"/>
      <c r="J45" s="154" t="s">
        <v>4212</v>
      </c>
      <c r="K45" s="154"/>
      <c r="L45" s="154"/>
      <c r="M45" s="170"/>
      <c r="N45" s="155"/>
      <c r="O45" s="561">
        <v>510</v>
      </c>
      <c r="P45" s="1406"/>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488"/>
      <c r="B46" s="1488"/>
      <c r="C46" s="1488"/>
      <c r="D46" s="1488"/>
      <c r="E46" s="1488"/>
      <c r="F46" s="1488"/>
      <c r="G46" s="868" t="s">
        <v>3796</v>
      </c>
      <c r="H46" s="154" t="s">
        <v>3805</v>
      </c>
      <c r="I46" s="154"/>
      <c r="J46" s="154" t="s">
        <v>4212</v>
      </c>
      <c r="K46" s="154"/>
      <c r="L46" s="154"/>
      <c r="M46" s="170"/>
      <c r="N46" s="155"/>
      <c r="O46" s="561">
        <v>510</v>
      </c>
      <c r="P46" s="1406"/>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489" t="str">
        <f>+A36</f>
        <v>PY.3.1.1</v>
      </c>
      <c r="B47" s="1488" t="str">
        <f>+B36</f>
        <v xml:space="preserve">ACREDITACIÓN Y REACREDITACIÓN PROGRAMAS DE PREGRADO </v>
      </c>
      <c r="C47" s="1489" t="str">
        <f>+C36</f>
        <v>AUMENTAR A 16 LOS PROGRAMAS ACREDITADOS</v>
      </c>
      <c r="D47" s="1489" t="str">
        <f>+D36</f>
        <v>NÚMERO DE PROGRAMAS ACREDITADOS</v>
      </c>
      <c r="E47" s="1489"/>
      <c r="F47" s="1489">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478"/>
      <c r="B48" s="1488"/>
      <c r="C48" s="1478"/>
      <c r="D48" s="1478"/>
      <c r="E48" s="1478"/>
      <c r="F48" s="1478"/>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478"/>
      <c r="B49" s="1488"/>
      <c r="C49" s="1478"/>
      <c r="D49" s="1478"/>
      <c r="E49" s="1478"/>
      <c r="F49" s="1478"/>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478"/>
      <c r="B50" s="1488"/>
      <c r="C50" s="1478"/>
      <c r="D50" s="1478"/>
      <c r="E50" s="1478"/>
      <c r="F50" s="1478"/>
      <c r="G50" s="868" t="s">
        <v>4128</v>
      </c>
      <c r="H50" s="165" t="s">
        <v>4138</v>
      </c>
      <c r="I50" s="165"/>
      <c r="J50" s="165"/>
      <c r="K50" s="165"/>
      <c r="L50" s="165"/>
      <c r="M50" s="170"/>
      <c r="N50" s="155"/>
      <c r="O50" s="561">
        <v>510</v>
      </c>
      <c r="P50" s="1251"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478"/>
      <c r="B51" s="1488"/>
      <c r="C51" s="1478"/>
      <c r="D51" s="1478"/>
      <c r="E51" s="1478"/>
      <c r="F51" s="1478"/>
      <c r="G51" s="868" t="s">
        <v>4139</v>
      </c>
      <c r="H51" s="165" t="s">
        <v>4213</v>
      </c>
      <c r="I51" s="165"/>
      <c r="J51" s="165"/>
      <c r="K51" s="165"/>
      <c r="L51" s="165"/>
      <c r="M51" s="170"/>
      <c r="N51" s="155"/>
      <c r="O51" s="561">
        <v>510</v>
      </c>
      <c r="P51" s="1252"/>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478"/>
      <c r="B52" s="1488"/>
      <c r="C52" s="1479"/>
      <c r="D52" s="1479"/>
      <c r="E52" s="1479"/>
      <c r="F52" s="1479"/>
      <c r="G52" s="868" t="s">
        <v>4140</v>
      </c>
      <c r="H52" s="165" t="s">
        <v>4141</v>
      </c>
      <c r="I52" s="165"/>
      <c r="J52" s="165"/>
      <c r="K52" s="165"/>
      <c r="L52" s="165"/>
      <c r="M52" s="170"/>
      <c r="N52" s="155"/>
      <c r="O52" s="561">
        <v>510</v>
      </c>
      <c r="P52" s="1253"/>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488" t="str">
        <f>+A47</f>
        <v>PY.3.1.1</v>
      </c>
      <c r="B53" s="1478" t="str">
        <f>+B47</f>
        <v xml:space="preserve">ACREDITACIÓN Y REACREDITACIÓN PROGRAMAS DE PREGRADO </v>
      </c>
      <c r="C53" s="1478" t="str">
        <f>+'PLANINDICATIVO PD MAYO'!J16</f>
        <v>6 PROGRAMAS PREGRADO REACREDITADOS</v>
      </c>
      <c r="D53" s="1478" t="str">
        <f>+'PLANINDICATIVO PD MAYO'!L16</f>
        <v>NÚMERO PROGRAMAS PREGRADO REACREDITADOS</v>
      </c>
      <c r="E53" s="1478"/>
      <c r="F53" s="1478">
        <f>+'PLANINDICATIVO PD MAYO'!O16</f>
        <v>2</v>
      </c>
      <c r="G53" s="868" t="s">
        <v>3806</v>
      </c>
      <c r="H53" s="154" t="s">
        <v>3815</v>
      </c>
      <c r="I53" s="154"/>
      <c r="J53" s="154"/>
      <c r="K53" s="154"/>
      <c r="L53" s="154"/>
      <c r="M53" s="170"/>
      <c r="N53" s="155"/>
      <c r="O53" s="561">
        <v>510</v>
      </c>
      <c r="P53" s="1251"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488"/>
      <c r="B54" s="1478"/>
      <c r="C54" s="1478"/>
      <c r="D54" s="1478"/>
      <c r="E54" s="1478"/>
      <c r="F54" s="1478"/>
      <c r="G54" s="868" t="s">
        <v>3807</v>
      </c>
      <c r="H54" s="154" t="s">
        <v>3816</v>
      </c>
      <c r="I54" s="154"/>
      <c r="J54" s="154"/>
      <c r="K54" s="154"/>
      <c r="L54" s="154"/>
      <c r="M54" s="170"/>
      <c r="N54" s="155"/>
      <c r="O54" s="561">
        <v>510</v>
      </c>
      <c r="P54" s="1252"/>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488"/>
      <c r="B55" s="1478"/>
      <c r="C55" s="1478"/>
      <c r="D55" s="1478"/>
      <c r="E55" s="1478"/>
      <c r="F55" s="1478"/>
      <c r="G55" s="868" t="s">
        <v>3808</v>
      </c>
      <c r="H55" s="154" t="s">
        <v>3817</v>
      </c>
      <c r="I55" s="154"/>
      <c r="J55" s="154"/>
      <c r="K55" s="154"/>
      <c r="L55" s="154"/>
      <c r="M55" s="170"/>
      <c r="N55" s="155"/>
      <c r="O55" s="561">
        <v>510</v>
      </c>
      <c r="P55" s="1253"/>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488"/>
      <c r="B56" s="1478"/>
      <c r="C56" s="1478"/>
      <c r="D56" s="1478"/>
      <c r="E56" s="1478"/>
      <c r="F56" s="1478"/>
      <c r="G56" s="868" t="s">
        <v>3809</v>
      </c>
      <c r="H56" s="154" t="s">
        <v>3818</v>
      </c>
      <c r="I56" s="154"/>
      <c r="J56" s="154"/>
      <c r="K56" s="154"/>
      <c r="L56" s="154"/>
      <c r="M56" s="170"/>
      <c r="N56" s="155"/>
      <c r="O56" s="561">
        <v>510</v>
      </c>
      <c r="P56" s="1251"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488"/>
      <c r="B57" s="1478"/>
      <c r="C57" s="1478"/>
      <c r="D57" s="1478"/>
      <c r="E57" s="1478"/>
      <c r="F57" s="1478"/>
      <c r="G57" s="868" t="s">
        <v>3810</v>
      </c>
      <c r="H57" s="154" t="s">
        <v>3819</v>
      </c>
      <c r="I57" s="154"/>
      <c r="J57" s="154"/>
      <c r="K57" s="154"/>
      <c r="L57" s="154"/>
      <c r="M57" s="170"/>
      <c r="N57" s="155"/>
      <c r="O57" s="561">
        <v>510</v>
      </c>
      <c r="P57" s="1252"/>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488"/>
      <c r="B58" s="1478"/>
      <c r="C58" s="1478"/>
      <c r="D58" s="1478"/>
      <c r="E58" s="1478"/>
      <c r="F58" s="1478"/>
      <c r="G58" s="868" t="s">
        <v>3811</v>
      </c>
      <c r="H58" s="154" t="s">
        <v>3820</v>
      </c>
      <c r="I58" s="154"/>
      <c r="J58" s="154"/>
      <c r="K58" s="154"/>
      <c r="L58" s="154"/>
      <c r="M58" s="170"/>
      <c r="N58" s="155"/>
      <c r="O58" s="561">
        <v>510</v>
      </c>
      <c r="P58" s="1252"/>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488"/>
      <c r="B59" s="1478"/>
      <c r="C59" s="1478"/>
      <c r="D59" s="1478"/>
      <c r="E59" s="1478"/>
      <c r="F59" s="1478"/>
      <c r="G59" s="868" t="s">
        <v>3812</v>
      </c>
      <c r="H59" s="154" t="s">
        <v>3821</v>
      </c>
      <c r="I59" s="154"/>
      <c r="J59" s="154"/>
      <c r="K59" s="154"/>
      <c r="L59" s="154"/>
      <c r="M59" s="170"/>
      <c r="N59" s="155"/>
      <c r="O59" s="561">
        <v>510</v>
      </c>
      <c r="P59" s="1252"/>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488"/>
      <c r="B60" s="1478"/>
      <c r="C60" s="1478"/>
      <c r="D60" s="1478"/>
      <c r="E60" s="1478"/>
      <c r="F60" s="1478"/>
      <c r="G60" s="868" t="s">
        <v>3813</v>
      </c>
      <c r="H60" s="154" t="s">
        <v>3822</v>
      </c>
      <c r="I60" s="154"/>
      <c r="J60" s="154"/>
      <c r="K60" s="154"/>
      <c r="L60" s="154"/>
      <c r="M60" s="170"/>
      <c r="N60" s="155"/>
      <c r="O60" s="561">
        <v>510</v>
      </c>
      <c r="P60" s="1252"/>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488"/>
      <c r="B61" s="1479"/>
      <c r="C61" s="1479"/>
      <c r="D61" s="1479"/>
      <c r="E61" s="1479"/>
      <c r="F61" s="1479"/>
      <c r="G61" s="868" t="s">
        <v>3814</v>
      </c>
      <c r="H61" s="154" t="s">
        <v>3823</v>
      </c>
      <c r="I61" s="154"/>
      <c r="J61" s="154"/>
      <c r="K61" s="154"/>
      <c r="L61" s="154"/>
      <c r="M61" s="170"/>
      <c r="N61" s="155"/>
      <c r="O61" s="561">
        <v>510</v>
      </c>
      <c r="P61" s="1253"/>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72" t="s">
        <v>4226</v>
      </c>
      <c r="B62" s="1243"/>
      <c r="C62" s="1243"/>
      <c r="D62" s="1243"/>
      <c r="E62" s="1243"/>
      <c r="F62" s="1243"/>
      <c r="G62" s="1243"/>
      <c r="H62" s="1243"/>
      <c r="I62" s="1243"/>
      <c r="J62" s="1243"/>
      <c r="K62" s="1243"/>
      <c r="L62" s="1243"/>
      <c r="M62" s="1243"/>
      <c r="N62" s="1243"/>
      <c r="O62" s="1243"/>
      <c r="P62" s="1480"/>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194" t="s">
        <v>2939</v>
      </c>
      <c r="B63" s="1194" t="s">
        <v>4181</v>
      </c>
      <c r="C63" s="1194" t="str">
        <f>+'PLANINDICATIVO PD MAYO'!J18</f>
        <v>6 PRUEBAS DE LABORATORIO CERTIFICADAS</v>
      </c>
      <c r="D63" s="1194" t="str">
        <f>+'PLANINDICATIVO PD MAYO'!L18</f>
        <v>NÚMERO DE PRUEBAS DE LABORATORIO CERITIFICADAS</v>
      </c>
      <c r="E63" s="1194"/>
      <c r="F63" s="1194">
        <f>+'PLANINDICATIVO PD MAYO'!O18</f>
        <v>3</v>
      </c>
      <c r="G63" s="109" t="s">
        <v>3826</v>
      </c>
      <c r="H63" s="154" t="s">
        <v>3825</v>
      </c>
      <c r="I63" s="154"/>
      <c r="J63" s="154"/>
      <c r="K63" s="154"/>
      <c r="L63" s="154"/>
      <c r="M63" s="155">
        <v>20000000</v>
      </c>
      <c r="N63" s="155">
        <v>660000000</v>
      </c>
      <c r="O63" s="561">
        <v>510</v>
      </c>
      <c r="P63" s="1399"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194"/>
      <c r="B64" s="1194"/>
      <c r="C64" s="1194"/>
      <c r="D64" s="1194"/>
      <c r="E64" s="1194"/>
      <c r="F64" s="1194"/>
      <c r="G64" s="109" t="s">
        <v>3827</v>
      </c>
      <c r="H64" s="154" t="s">
        <v>3829</v>
      </c>
      <c r="I64" s="154"/>
      <c r="J64" s="154"/>
      <c r="K64" s="154"/>
      <c r="L64" s="154"/>
      <c r="M64" s="155"/>
      <c r="N64" s="155"/>
      <c r="O64" s="561">
        <v>510</v>
      </c>
      <c r="P64" s="1400"/>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194"/>
      <c r="B65" s="1194"/>
      <c r="C65" s="1194"/>
      <c r="D65" s="1194"/>
      <c r="E65" s="1194"/>
      <c r="F65" s="1194"/>
      <c r="G65" s="109" t="s">
        <v>3828</v>
      </c>
      <c r="H65" s="154" t="s">
        <v>3830</v>
      </c>
      <c r="I65" s="154"/>
      <c r="J65" s="154"/>
      <c r="K65" s="154"/>
      <c r="L65" s="154"/>
      <c r="M65" s="155"/>
      <c r="N65" s="155"/>
      <c r="O65" s="561">
        <v>510</v>
      </c>
      <c r="P65" s="1401"/>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72" t="s">
        <v>4227</v>
      </c>
      <c r="B66" s="1243"/>
      <c r="C66" s="1243"/>
      <c r="D66" s="1243"/>
      <c r="E66" s="1243"/>
      <c r="F66" s="1243"/>
      <c r="G66" s="1243"/>
      <c r="H66" s="1243"/>
      <c r="I66" s="1243"/>
      <c r="J66" s="1243"/>
      <c r="K66" s="1243"/>
      <c r="L66" s="1243"/>
      <c r="M66" s="1243"/>
      <c r="N66" s="1243"/>
      <c r="O66" s="1243"/>
      <c r="P66" s="1480"/>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191" t="s">
        <v>4228</v>
      </c>
      <c r="B67" s="1191"/>
      <c r="C67" s="1191"/>
      <c r="D67" s="1191"/>
      <c r="E67" s="1191"/>
      <c r="F67" s="1191"/>
      <c r="G67" s="1191"/>
      <c r="H67" s="1191"/>
      <c r="I67" s="1191"/>
      <c r="J67" s="1191"/>
      <c r="K67" s="1191"/>
      <c r="L67" s="1191"/>
      <c r="M67" s="1191"/>
      <c r="N67" s="1191"/>
      <c r="O67" s="1191"/>
      <c r="P67" s="1191"/>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200" t="s">
        <v>3139</v>
      </c>
      <c r="B70" s="1200"/>
      <c r="C70" s="1200" t="s">
        <v>4179</v>
      </c>
      <c r="D70" s="1481" t="s">
        <v>4171</v>
      </c>
      <c r="E70" s="1482"/>
      <c r="F70" s="1483"/>
      <c r="G70" s="1201" t="s">
        <v>4174</v>
      </c>
      <c r="H70" s="1201"/>
      <c r="I70" s="1201" t="s">
        <v>4175</v>
      </c>
      <c r="J70" s="1201" t="s">
        <v>4176</v>
      </c>
      <c r="K70" s="1201"/>
      <c r="L70" s="1201"/>
      <c r="M70" s="893"/>
      <c r="N70" s="893"/>
      <c r="O70" s="1426" t="s">
        <v>447</v>
      </c>
      <c r="P70" s="1486" t="s">
        <v>3347</v>
      </c>
      <c r="Q70" s="1487" t="s">
        <v>3333</v>
      </c>
      <c r="R70" s="1487"/>
      <c r="S70" s="1487"/>
      <c r="T70" s="1487"/>
      <c r="U70" s="1487"/>
      <c r="V70" s="1487"/>
      <c r="W70" s="1487" t="s">
        <v>3333</v>
      </c>
      <c r="X70" s="1487"/>
      <c r="Y70" s="1487"/>
      <c r="Z70" s="1487"/>
      <c r="AA70" s="1487"/>
      <c r="AB70" s="1487"/>
      <c r="AC70" s="1487"/>
    </row>
    <row r="71" spans="1:31" ht="42" customHeight="1" x14ac:dyDescent="0.25">
      <c r="A71" s="1200"/>
      <c r="B71" s="1200"/>
      <c r="C71" s="1200"/>
      <c r="D71" s="891" t="s">
        <v>4178</v>
      </c>
      <c r="E71" s="891" t="s">
        <v>4173</v>
      </c>
      <c r="F71" s="891" t="s">
        <v>4172</v>
      </c>
      <c r="G71" s="886" t="s">
        <v>1</v>
      </c>
      <c r="H71" s="886" t="s">
        <v>4174</v>
      </c>
      <c r="I71" s="1201"/>
      <c r="J71" s="886" t="s">
        <v>4178</v>
      </c>
      <c r="K71" s="886" t="s">
        <v>4173</v>
      </c>
      <c r="L71" s="886" t="s">
        <v>4177</v>
      </c>
      <c r="M71" s="886" t="s">
        <v>460</v>
      </c>
      <c r="N71" s="886" t="s">
        <v>462</v>
      </c>
      <c r="O71" s="1426"/>
      <c r="P71" s="1486"/>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193" t="s">
        <v>3005</v>
      </c>
      <c r="B72" s="1193" t="s">
        <v>3293</v>
      </c>
      <c r="C72" s="1193" t="str">
        <f>+'PLANINDICATIVO PD MAYO'!J19</f>
        <v xml:space="preserve">4 PROGRAMAS POR CICLOS PROPEDÉUTICOS </v>
      </c>
      <c r="D72" s="1193" t="s">
        <v>3239</v>
      </c>
      <c r="E72" s="1193"/>
      <c r="F72" s="1287">
        <f>+'PLANINDICATIVO PD MAYO'!O19</f>
        <v>2</v>
      </c>
      <c r="G72" s="864" t="s">
        <v>3831</v>
      </c>
      <c r="H72" s="896" t="s">
        <v>3833</v>
      </c>
      <c r="I72" s="896"/>
      <c r="J72" s="896"/>
      <c r="K72" s="896"/>
      <c r="L72" s="896"/>
      <c r="M72" s="875">
        <v>20000000</v>
      </c>
      <c r="N72" s="875">
        <v>170000000</v>
      </c>
      <c r="O72" s="701">
        <v>510</v>
      </c>
      <c r="P72" s="1401"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194"/>
      <c r="B73" s="1194"/>
      <c r="C73" s="1194"/>
      <c r="D73" s="1194"/>
      <c r="E73" s="1194"/>
      <c r="F73" s="1194"/>
      <c r="G73" s="865" t="s">
        <v>3832</v>
      </c>
      <c r="H73" s="331" t="s">
        <v>3834</v>
      </c>
      <c r="I73" s="331"/>
      <c r="J73" s="331"/>
      <c r="K73" s="331"/>
      <c r="L73" s="331"/>
      <c r="M73" s="149"/>
      <c r="N73" s="149"/>
      <c r="O73" s="151">
        <v>510</v>
      </c>
      <c r="P73" s="1270"/>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72" t="s">
        <v>4230</v>
      </c>
      <c r="B74" s="1243"/>
      <c r="C74" s="1243"/>
      <c r="D74" s="1243"/>
      <c r="E74" s="1243"/>
      <c r="F74" s="1243"/>
      <c r="G74" s="1243"/>
      <c r="H74" s="1243"/>
      <c r="I74" s="1243"/>
      <c r="J74" s="1243"/>
      <c r="K74" s="1243"/>
      <c r="L74" s="1243"/>
      <c r="M74" s="1243"/>
      <c r="N74" s="1243"/>
      <c r="O74" s="1243"/>
      <c r="P74" s="1480"/>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194" t="s">
        <v>3018</v>
      </c>
      <c r="B75" s="1194"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406"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194"/>
      <c r="B76" s="1194"/>
      <c r="C76" s="1194" t="str">
        <f>+'PLANINDICATIVO PD MAYO'!J21</f>
        <v>AMPLIAR LA OFERTA ACADÉMICA EN 9  NUEVOS PROGRAMAS (PREGRADO Y POSTGRADO)</v>
      </c>
      <c r="D76" s="1194" t="str">
        <f>+'PLANINDICATIVO PD MAYO'!L21</f>
        <v>NÚMERO DE  PROGRAMAS ACADÉMICOS OFRECIDOS POR USCO</v>
      </c>
      <c r="E76" s="1194"/>
      <c r="F76" s="1195">
        <f>+'PLANINDICATIVO PD MAYO'!O21</f>
        <v>2</v>
      </c>
      <c r="G76" s="109" t="s">
        <v>3836</v>
      </c>
      <c r="H76" s="154" t="s">
        <v>3846</v>
      </c>
      <c r="I76" s="154"/>
      <c r="J76" s="154"/>
      <c r="K76" s="154"/>
      <c r="L76" s="154"/>
      <c r="M76" s="155">
        <v>80000000</v>
      </c>
      <c r="N76" s="155">
        <v>74450000</v>
      </c>
      <c r="O76" s="561">
        <v>510</v>
      </c>
      <c r="P76" s="1406"/>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194"/>
      <c r="B77" s="1194"/>
      <c r="C77" s="1194"/>
      <c r="D77" s="1194"/>
      <c r="E77" s="1194"/>
      <c r="F77" s="1195"/>
      <c r="G77" s="109" t="s">
        <v>3837</v>
      </c>
      <c r="H77" s="154" t="s">
        <v>3847</v>
      </c>
      <c r="I77" s="154"/>
      <c r="J77" s="154"/>
      <c r="K77" s="154"/>
      <c r="L77" s="154"/>
      <c r="M77" s="155"/>
      <c r="N77" s="155"/>
      <c r="O77" s="561">
        <v>510</v>
      </c>
      <c r="P77" s="1406"/>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194"/>
      <c r="B78" s="1194"/>
      <c r="C78" s="1194"/>
      <c r="D78" s="1194"/>
      <c r="E78" s="1194"/>
      <c r="F78" s="1195"/>
      <c r="G78" s="109" t="s">
        <v>3838</v>
      </c>
      <c r="H78" s="154" t="s">
        <v>3848</v>
      </c>
      <c r="I78" s="154"/>
      <c r="J78" s="154"/>
      <c r="K78" s="154"/>
      <c r="L78" s="154"/>
      <c r="M78" s="155"/>
      <c r="N78" s="155"/>
      <c r="O78" s="561">
        <v>510</v>
      </c>
      <c r="P78" s="1406"/>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194"/>
      <c r="B79" s="1194"/>
      <c r="C79" s="1194"/>
      <c r="D79" s="1194"/>
      <c r="E79" s="1194"/>
      <c r="F79" s="1195"/>
      <c r="G79" s="109" t="s">
        <v>3839</v>
      </c>
      <c r="H79" s="154" t="s">
        <v>3849</v>
      </c>
      <c r="I79" s="154"/>
      <c r="J79" s="154"/>
      <c r="K79" s="154"/>
      <c r="L79" s="154"/>
      <c r="M79" s="155"/>
      <c r="N79" s="155"/>
      <c r="O79" s="561">
        <v>510</v>
      </c>
      <c r="P79" s="1406"/>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194" t="str">
        <f>+A75</f>
        <v>PY.3.2.2</v>
      </c>
      <c r="B80" s="1194" t="str">
        <f>+B75</f>
        <v>NUEVOS PROYECTOS ACADÉMICOS (INCLUÍDOS LOS TÉCNICOS Y TECNOLÓGICOS)</v>
      </c>
      <c r="C80" s="1194" t="str">
        <f>+C76</f>
        <v>AMPLIAR LA OFERTA ACADÉMICA EN 9  NUEVOS PROGRAMAS (PREGRADO Y POSTGRADO)</v>
      </c>
      <c r="D80" s="1194" t="str">
        <f>+D76</f>
        <v>NÚMERO DE  PROGRAMAS ACADÉMICOS OFRECIDOS POR USCO</v>
      </c>
      <c r="E80" s="1194"/>
      <c r="F80" s="1194">
        <f>+F76</f>
        <v>2</v>
      </c>
      <c r="G80" s="109" t="s">
        <v>3840</v>
      </c>
      <c r="H80" s="154" t="s">
        <v>3850</v>
      </c>
      <c r="I80" s="154"/>
      <c r="J80" s="154"/>
      <c r="K80" s="154"/>
      <c r="L80" s="154"/>
      <c r="M80" s="155"/>
      <c r="N80" s="155"/>
      <c r="O80" s="561">
        <v>510</v>
      </c>
      <c r="P80" s="1474"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194"/>
      <c r="B81" s="1194"/>
      <c r="C81" s="1194"/>
      <c r="D81" s="1194"/>
      <c r="E81" s="1194"/>
      <c r="F81" s="1194"/>
      <c r="G81" s="109" t="s">
        <v>3841</v>
      </c>
      <c r="H81" s="154" t="s">
        <v>3851</v>
      </c>
      <c r="I81" s="154"/>
      <c r="J81" s="154"/>
      <c r="K81" s="154"/>
      <c r="L81" s="154"/>
      <c r="M81" s="155"/>
      <c r="N81" s="155"/>
      <c r="O81" s="561">
        <v>510</v>
      </c>
      <c r="P81" s="1475"/>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194"/>
      <c r="B82" s="1194"/>
      <c r="C82" s="1194"/>
      <c r="D82" s="1194"/>
      <c r="E82" s="1194"/>
      <c r="F82" s="1194"/>
      <c r="G82" s="109" t="s">
        <v>3842</v>
      </c>
      <c r="H82" s="154" t="s">
        <v>3852</v>
      </c>
      <c r="I82" s="154"/>
      <c r="J82" s="154"/>
      <c r="K82" s="154"/>
      <c r="L82" s="154"/>
      <c r="M82" s="155"/>
      <c r="N82" s="155"/>
      <c r="O82" s="561">
        <v>510</v>
      </c>
      <c r="P82" s="1475"/>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194"/>
      <c r="B83" s="1194"/>
      <c r="C83" s="1194"/>
      <c r="D83" s="1194"/>
      <c r="E83" s="1194"/>
      <c r="F83" s="1194"/>
      <c r="G83" s="109" t="s">
        <v>3843</v>
      </c>
      <c r="H83" s="154" t="s">
        <v>3853</v>
      </c>
      <c r="I83" s="154"/>
      <c r="J83" s="154"/>
      <c r="K83" s="154"/>
      <c r="L83" s="154"/>
      <c r="M83" s="155"/>
      <c r="N83" s="155"/>
      <c r="O83" s="561">
        <v>510</v>
      </c>
      <c r="P83" s="1475"/>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194"/>
      <c r="B84" s="1194"/>
      <c r="C84" s="1194"/>
      <c r="D84" s="1194"/>
      <c r="E84" s="1194"/>
      <c r="F84" s="1194"/>
      <c r="G84" s="109" t="s">
        <v>3844</v>
      </c>
      <c r="H84" s="154" t="s">
        <v>3854</v>
      </c>
      <c r="I84" s="154"/>
      <c r="J84" s="154"/>
      <c r="K84" s="154"/>
      <c r="L84" s="154"/>
      <c r="M84" s="155"/>
      <c r="N84" s="155"/>
      <c r="O84" s="561">
        <v>510</v>
      </c>
      <c r="P84" s="1475"/>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194"/>
      <c r="B85" s="1194"/>
      <c r="C85" s="1194"/>
      <c r="D85" s="1194"/>
      <c r="E85" s="1194"/>
      <c r="F85" s="1194"/>
      <c r="G85" s="109" t="s">
        <v>3845</v>
      </c>
      <c r="H85" s="154" t="s">
        <v>3855</v>
      </c>
      <c r="I85" s="154"/>
      <c r="J85" s="154"/>
      <c r="K85" s="154"/>
      <c r="L85" s="154"/>
      <c r="M85" s="155"/>
      <c r="N85" s="155"/>
      <c r="O85" s="561">
        <v>510</v>
      </c>
      <c r="P85" s="1476"/>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194"/>
      <c r="B86" s="1194"/>
      <c r="C86" s="1194"/>
      <c r="D86" s="1194"/>
      <c r="E86" s="1194"/>
      <c r="F86" s="1194"/>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194"/>
      <c r="B87" s="1194"/>
      <c r="C87" s="1194"/>
      <c r="D87" s="1194"/>
      <c r="E87" s="1194"/>
      <c r="F87" s="1194"/>
      <c r="G87" s="890" t="s">
        <v>4142</v>
      </c>
      <c r="H87" s="165" t="s">
        <v>4145</v>
      </c>
      <c r="I87" s="165"/>
      <c r="J87" s="165"/>
      <c r="K87" s="165"/>
      <c r="L87" s="165"/>
      <c r="M87" s="155"/>
      <c r="N87" s="155"/>
      <c r="O87" s="561">
        <v>510</v>
      </c>
      <c r="P87" s="1251"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194"/>
      <c r="B88" s="1194"/>
      <c r="C88" s="1194"/>
      <c r="D88" s="1194"/>
      <c r="E88" s="1194"/>
      <c r="F88" s="1194"/>
      <c r="G88" s="890" t="s">
        <v>4143</v>
      </c>
      <c r="H88" s="165" t="s">
        <v>4146</v>
      </c>
      <c r="I88" s="165"/>
      <c r="J88" s="165"/>
      <c r="K88" s="165"/>
      <c r="L88" s="165"/>
      <c r="M88" s="155"/>
      <c r="N88" s="155"/>
      <c r="O88" s="561">
        <v>510</v>
      </c>
      <c r="P88" s="1252"/>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191"/>
      <c r="B89" s="1191"/>
      <c r="C89" s="1191"/>
      <c r="D89" s="1191"/>
      <c r="E89" s="1191"/>
      <c r="F89" s="1191"/>
      <c r="G89" s="889" t="s">
        <v>4144</v>
      </c>
      <c r="H89" s="902" t="s">
        <v>4147</v>
      </c>
      <c r="I89" s="902"/>
      <c r="J89" s="902"/>
      <c r="K89" s="902"/>
      <c r="L89" s="902"/>
      <c r="M89" s="172"/>
      <c r="N89" s="172"/>
      <c r="O89" s="561">
        <v>510</v>
      </c>
      <c r="P89" s="1252"/>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194" t="s">
        <v>4233</v>
      </c>
      <c r="B90" s="1194"/>
      <c r="C90" s="1194"/>
      <c r="D90" s="1194"/>
      <c r="E90" s="1194"/>
      <c r="F90" s="1194"/>
      <c r="G90" s="1194"/>
      <c r="H90" s="1194"/>
      <c r="I90" s="1194"/>
      <c r="J90" s="1194"/>
      <c r="K90" s="1194"/>
      <c r="L90" s="1194"/>
      <c r="M90" s="1194"/>
      <c r="N90" s="1194"/>
      <c r="O90" s="1194"/>
      <c r="P90" s="1194"/>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183" t="s">
        <v>3009</v>
      </c>
      <c r="B91" s="1183" t="s">
        <v>3185</v>
      </c>
      <c r="C91" s="1183" t="str">
        <f>+'PLANINDICATIVO PD MAYO'!J24</f>
        <v>100% DOCENTES DE PLANTA Y OCASIONALES CAPACITADOS EN SUS ÁREAS DE CONOCIMIENTO</v>
      </c>
      <c r="D91" s="1183" t="str">
        <f>+'PLANINDICATIVO PD MAYO'!L24</f>
        <v>NÚMERO DE DOCENTES CAPACITADOS</v>
      </c>
      <c r="E91" s="1183"/>
      <c r="F91" s="1498">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183"/>
      <c r="B92" s="1183"/>
      <c r="C92" s="1183"/>
      <c r="D92" s="1183"/>
      <c r="E92" s="1183"/>
      <c r="F92" s="1183"/>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183"/>
      <c r="B93" s="1183"/>
      <c r="C93" s="1183"/>
      <c r="D93" s="1183"/>
      <c r="E93" s="1183"/>
      <c r="F93" s="1183"/>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183"/>
      <c r="B94" s="1183"/>
      <c r="C94" s="1183"/>
      <c r="D94" s="1183"/>
      <c r="E94" s="1183"/>
      <c r="F94" s="1183"/>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183"/>
      <c r="B95" s="1183"/>
      <c r="C95" s="1183"/>
      <c r="D95" s="1183"/>
      <c r="E95" s="1183"/>
      <c r="F95" s="1183"/>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183"/>
      <c r="B96" s="1183"/>
      <c r="C96" s="1183"/>
      <c r="D96" s="1183"/>
      <c r="E96" s="1183"/>
      <c r="F96" s="1183"/>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183"/>
      <c r="B97" s="1183"/>
      <c r="C97" s="1183"/>
      <c r="D97" s="1183"/>
      <c r="E97" s="1183"/>
      <c r="F97" s="1183"/>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183"/>
      <c r="B98" s="1183"/>
      <c r="C98" s="1183"/>
      <c r="D98" s="1183"/>
      <c r="E98" s="1183"/>
      <c r="F98" s="1183"/>
      <c r="G98" s="2" t="s">
        <v>3863</v>
      </c>
      <c r="H98" s="154" t="s">
        <v>3872</v>
      </c>
      <c r="I98" s="154"/>
      <c r="J98" s="154"/>
      <c r="K98" s="154"/>
      <c r="L98" s="154"/>
      <c r="M98" s="155"/>
      <c r="N98" s="158"/>
      <c r="O98" s="151">
        <v>310</v>
      </c>
      <c r="P98" s="1399"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183"/>
      <c r="B99" s="1183"/>
      <c r="C99" s="1183"/>
      <c r="D99" s="1183"/>
      <c r="E99" s="1183"/>
      <c r="F99" s="1183"/>
      <c r="G99" s="887" t="s">
        <v>3864</v>
      </c>
      <c r="H99" s="171" t="s">
        <v>3873</v>
      </c>
      <c r="I99" s="171"/>
      <c r="J99" s="171"/>
      <c r="K99" s="171"/>
      <c r="L99" s="171"/>
      <c r="M99" s="172"/>
      <c r="N99" s="173"/>
      <c r="O99" s="561">
        <v>310</v>
      </c>
      <c r="P99" s="1400"/>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194" t="s">
        <v>4234</v>
      </c>
      <c r="B100" s="1194"/>
      <c r="C100" s="1194"/>
      <c r="D100" s="1194"/>
      <c r="E100" s="1194"/>
      <c r="F100" s="1194"/>
      <c r="G100" s="1194"/>
      <c r="H100" s="1194"/>
      <c r="I100" s="1194"/>
      <c r="J100" s="1194"/>
      <c r="K100" s="1194"/>
      <c r="L100" s="1194"/>
      <c r="M100" s="1194"/>
      <c r="N100" s="1194"/>
      <c r="O100" s="1194"/>
      <c r="P100" s="1194"/>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194" t="s">
        <v>4235</v>
      </c>
      <c r="B101" s="1194"/>
      <c r="C101" s="1194"/>
      <c r="D101" s="1194"/>
      <c r="E101" s="1194"/>
      <c r="F101" s="1194"/>
      <c r="G101" s="1194"/>
      <c r="H101" s="1194"/>
      <c r="I101" s="1194"/>
      <c r="J101" s="1194"/>
      <c r="K101" s="1194"/>
      <c r="L101" s="1194"/>
      <c r="M101" s="1194"/>
      <c r="N101" s="1194"/>
      <c r="O101" s="1194"/>
      <c r="P101" s="1194"/>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200" t="s">
        <v>3139</v>
      </c>
      <c r="B104" s="1200"/>
      <c r="C104" s="1200" t="s">
        <v>4179</v>
      </c>
      <c r="D104" s="1481" t="s">
        <v>4171</v>
      </c>
      <c r="E104" s="1482"/>
      <c r="F104" s="1483"/>
      <c r="G104" s="1201" t="s">
        <v>4174</v>
      </c>
      <c r="H104" s="1201"/>
      <c r="I104" s="1201" t="s">
        <v>4175</v>
      </c>
      <c r="J104" s="1201" t="s">
        <v>4176</v>
      </c>
      <c r="K104" s="1201"/>
      <c r="L104" s="1201"/>
      <c r="M104" s="893"/>
      <c r="N104" s="893"/>
      <c r="O104" s="1426" t="s">
        <v>447</v>
      </c>
      <c r="P104" s="1486" t="s">
        <v>3347</v>
      </c>
      <c r="Q104" s="1487" t="s">
        <v>3333</v>
      </c>
      <c r="R104" s="1487"/>
      <c r="S104" s="1487"/>
      <c r="T104" s="1487"/>
      <c r="U104" s="1487"/>
      <c r="V104" s="1487"/>
      <c r="W104" s="1487" t="s">
        <v>3333</v>
      </c>
      <c r="X104" s="1487"/>
      <c r="Y104" s="1487"/>
      <c r="Z104" s="1487"/>
      <c r="AA104" s="1487"/>
      <c r="AB104" s="1487"/>
      <c r="AC104" s="1487"/>
    </row>
    <row r="105" spans="1:31" ht="51" x14ac:dyDescent="0.25">
      <c r="A105" s="1200"/>
      <c r="B105" s="1200"/>
      <c r="C105" s="1200"/>
      <c r="D105" s="891" t="s">
        <v>4178</v>
      </c>
      <c r="E105" s="891" t="s">
        <v>4173</v>
      </c>
      <c r="F105" s="891" t="s">
        <v>4172</v>
      </c>
      <c r="G105" s="886" t="s">
        <v>1</v>
      </c>
      <c r="H105" s="886" t="s">
        <v>4174</v>
      </c>
      <c r="I105" s="1201"/>
      <c r="J105" s="886" t="s">
        <v>4178</v>
      </c>
      <c r="K105" s="886" t="s">
        <v>4173</v>
      </c>
      <c r="L105" s="886" t="s">
        <v>4177</v>
      </c>
      <c r="M105" s="886" t="s">
        <v>460</v>
      </c>
      <c r="N105" s="886" t="s">
        <v>462</v>
      </c>
      <c r="O105" s="1426"/>
      <c r="P105" s="1486"/>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193" t="s">
        <v>2961</v>
      </c>
      <c r="B106" s="1193" t="s">
        <v>3177</v>
      </c>
      <c r="C106" s="1193" t="str">
        <f>+'PLANINDICATIVO PD MAYO'!J25</f>
        <v>FORMACIÓN DE 15 DOCENTES A NIVEL MAESTRÍA, 10 DOCTORES, 4 POSTDOCTORADOS ADICIONALES</v>
      </c>
      <c r="D106" s="1193" t="s">
        <v>3221</v>
      </c>
      <c r="E106" s="1193"/>
      <c r="F106" s="1193"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400"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194"/>
      <c r="B107" s="1194"/>
      <c r="C107" s="1194"/>
      <c r="D107" s="1194"/>
      <c r="E107" s="1194"/>
      <c r="F107" s="1194"/>
      <c r="G107" s="2" t="s">
        <v>3881</v>
      </c>
      <c r="H107" s="154" t="s">
        <v>3884</v>
      </c>
      <c r="I107" s="154"/>
      <c r="J107" s="154"/>
      <c r="K107" s="154"/>
      <c r="L107" s="154"/>
      <c r="M107" s="155">
        <v>25000000</v>
      </c>
      <c r="N107" s="158">
        <v>40000000</v>
      </c>
      <c r="O107" s="151">
        <v>310</v>
      </c>
      <c r="P107" s="1400"/>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194"/>
      <c r="B108" s="1194"/>
      <c r="C108" s="1194"/>
      <c r="D108" s="1194"/>
      <c r="E108" s="1194"/>
      <c r="F108" s="1194"/>
      <c r="G108" s="2" t="s">
        <v>3882</v>
      </c>
      <c r="H108" s="154" t="s">
        <v>3885</v>
      </c>
      <c r="I108" s="154"/>
      <c r="J108" s="154"/>
      <c r="K108" s="154"/>
      <c r="L108" s="154"/>
      <c r="M108" s="155">
        <v>60000000</v>
      </c>
      <c r="N108" s="158">
        <v>132000000</v>
      </c>
      <c r="O108" s="151">
        <v>310</v>
      </c>
      <c r="P108" s="1401"/>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194" t="s">
        <v>4237</v>
      </c>
      <c r="B109" s="1194"/>
      <c r="C109" s="1194"/>
      <c r="D109" s="1194"/>
      <c r="E109" s="1194"/>
      <c r="F109" s="1194"/>
      <c r="G109" s="1194"/>
      <c r="H109" s="1194"/>
      <c r="I109" s="1194"/>
      <c r="J109" s="1194"/>
      <c r="K109" s="1194"/>
      <c r="L109" s="1194"/>
      <c r="M109" s="1194"/>
      <c r="N109" s="1194"/>
      <c r="O109" s="1194"/>
      <c r="P109" s="1194"/>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183" t="s">
        <v>2945</v>
      </c>
      <c r="B110" s="1197"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51"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183"/>
      <c r="B111" s="1197"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52"/>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183"/>
      <c r="B112" s="1197"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53"/>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184"/>
      <c r="B113" s="1184"/>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194" t="s">
        <v>4238</v>
      </c>
      <c r="B114" s="1194"/>
      <c r="C114" s="1194"/>
      <c r="D114" s="1194"/>
      <c r="E114" s="1194"/>
      <c r="F114" s="1194"/>
      <c r="G114" s="1194"/>
      <c r="H114" s="1194"/>
      <c r="I114" s="1194"/>
      <c r="J114" s="1194"/>
      <c r="K114" s="1194"/>
      <c r="L114" s="1194"/>
      <c r="M114" s="1194"/>
      <c r="N114" s="1194"/>
      <c r="O114" s="1194"/>
      <c r="P114" s="1194"/>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27" t="s">
        <v>2988</v>
      </c>
      <c r="B115" s="1228" t="s">
        <v>3180</v>
      </c>
      <c r="C115" s="1194" t="str">
        <f>+'PLANINDICATIVO PD MAYO'!J29</f>
        <v>PUBLICAR 35  LIBROS PRODUCTO DE INVESTIGACIÓN, 50 LOS ARTÍCULOS EN REVISTAS INDEXADAS E INDEXAR 2 REVISTAS USCO</v>
      </c>
      <c r="D115" s="1194" t="s">
        <v>3272</v>
      </c>
      <c r="E115" s="1194"/>
      <c r="F115" s="1194" t="str">
        <f>+'PLANINDICATIVO PD MAYO'!O29</f>
        <v>9 libros, 12 artìculos, 1 revistas indexadas</v>
      </c>
      <c r="G115" s="2" t="s">
        <v>3887</v>
      </c>
      <c r="H115" s="154" t="s">
        <v>3181</v>
      </c>
      <c r="I115" s="154"/>
      <c r="J115" s="154"/>
      <c r="K115" s="154"/>
      <c r="L115" s="154"/>
      <c r="M115" s="155">
        <v>70000000</v>
      </c>
      <c r="N115" s="155">
        <v>70000000</v>
      </c>
      <c r="O115" s="151">
        <v>410</v>
      </c>
      <c r="P115" s="1263"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183"/>
      <c r="B116" s="1197"/>
      <c r="C116" s="1194"/>
      <c r="D116" s="1194"/>
      <c r="E116" s="1194"/>
      <c r="F116" s="1194"/>
      <c r="G116" s="2" t="s">
        <v>3888</v>
      </c>
      <c r="H116" s="154" t="s">
        <v>3237</v>
      </c>
      <c r="I116" s="154"/>
      <c r="J116" s="154"/>
      <c r="K116" s="154"/>
      <c r="L116" s="154"/>
      <c r="M116" s="155">
        <v>50000000</v>
      </c>
      <c r="N116" s="155">
        <v>50000000</v>
      </c>
      <c r="O116" s="151">
        <v>410</v>
      </c>
      <c r="P116" s="1264"/>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183"/>
      <c r="B117" s="1197"/>
      <c r="C117" s="1194"/>
      <c r="D117" s="1194"/>
      <c r="E117" s="1194"/>
      <c r="F117" s="1194"/>
      <c r="G117" s="2" t="s">
        <v>3889</v>
      </c>
      <c r="H117" s="154" t="s">
        <v>394</v>
      </c>
      <c r="I117" s="154"/>
      <c r="J117" s="154"/>
      <c r="K117" s="154"/>
      <c r="L117" s="154"/>
      <c r="M117" s="155">
        <v>50000000</v>
      </c>
      <c r="N117" s="155">
        <v>50000000</v>
      </c>
      <c r="O117" s="151">
        <v>410</v>
      </c>
      <c r="P117" s="1265"/>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184"/>
      <c r="B118" s="1198"/>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194" t="s">
        <v>4239</v>
      </c>
      <c r="B119" s="1194"/>
      <c r="C119" s="1194"/>
      <c r="D119" s="1194"/>
      <c r="E119" s="1194"/>
      <c r="F119" s="1194"/>
      <c r="G119" s="1194"/>
      <c r="H119" s="1194"/>
      <c r="I119" s="1194"/>
      <c r="J119" s="1194"/>
      <c r="K119" s="1194"/>
      <c r="L119" s="1194"/>
      <c r="M119" s="1194"/>
      <c r="N119" s="1194"/>
      <c r="O119" s="1194"/>
      <c r="P119" s="1194"/>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27" t="s">
        <v>2973</v>
      </c>
      <c r="B120" s="1227"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63"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184"/>
      <c r="B121" s="1184"/>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65"/>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194" t="s">
        <v>4240</v>
      </c>
      <c r="B122" s="1194"/>
      <c r="C122" s="1194"/>
      <c r="D122" s="1194"/>
      <c r="E122" s="1194"/>
      <c r="F122" s="1194"/>
      <c r="G122" s="1194"/>
      <c r="H122" s="1194"/>
      <c r="I122" s="1194"/>
      <c r="J122" s="1194"/>
      <c r="K122" s="1194"/>
      <c r="L122" s="1194"/>
      <c r="M122" s="1194"/>
      <c r="N122" s="1194"/>
      <c r="O122" s="1194"/>
      <c r="P122" s="1194"/>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194" t="s">
        <v>4241</v>
      </c>
      <c r="B124" s="1194"/>
      <c r="C124" s="1194"/>
      <c r="D124" s="1194"/>
      <c r="E124" s="1194"/>
      <c r="F124" s="1194"/>
      <c r="G124" s="1194"/>
      <c r="H124" s="1194"/>
      <c r="I124" s="1194"/>
      <c r="J124" s="1194"/>
      <c r="K124" s="1194"/>
      <c r="L124" s="1194"/>
      <c r="M124" s="1194"/>
      <c r="N124" s="1194"/>
      <c r="O124" s="1194"/>
      <c r="P124" s="1194"/>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194" t="s">
        <v>4242</v>
      </c>
      <c r="B126" s="1194"/>
      <c r="C126" s="1194"/>
      <c r="D126" s="1194"/>
      <c r="E126" s="1194"/>
      <c r="F126" s="1194"/>
      <c r="G126" s="1194"/>
      <c r="H126" s="1194"/>
      <c r="I126" s="1194"/>
      <c r="J126" s="1194"/>
      <c r="K126" s="1194"/>
      <c r="L126" s="1194"/>
      <c r="M126" s="1194"/>
      <c r="N126" s="1194"/>
      <c r="O126" s="1194"/>
      <c r="P126" s="1194"/>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194" t="s">
        <v>4243</v>
      </c>
      <c r="B128" s="1194"/>
      <c r="C128" s="1194"/>
      <c r="D128" s="1194"/>
      <c r="E128" s="1194"/>
      <c r="F128" s="1194"/>
      <c r="G128" s="1194"/>
      <c r="H128" s="1194"/>
      <c r="I128" s="1194"/>
      <c r="J128" s="1194"/>
      <c r="K128" s="1194"/>
      <c r="L128" s="1194"/>
      <c r="M128" s="1194"/>
      <c r="N128" s="1194"/>
      <c r="O128" s="1194"/>
      <c r="P128" s="1194"/>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194" t="s">
        <v>4247</v>
      </c>
      <c r="B129" s="1194"/>
      <c r="C129" s="1194"/>
      <c r="D129" s="1194"/>
      <c r="E129" s="1194"/>
      <c r="F129" s="1194"/>
      <c r="G129" s="1194"/>
      <c r="H129" s="1194"/>
      <c r="I129" s="1194"/>
      <c r="J129" s="1194"/>
      <c r="K129" s="1194"/>
      <c r="L129" s="1194"/>
      <c r="M129" s="1194"/>
      <c r="N129" s="1194"/>
      <c r="O129" s="1194"/>
      <c r="P129" s="1194"/>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200" t="s">
        <v>3139</v>
      </c>
      <c r="B132" s="1200"/>
      <c r="C132" s="1200" t="s">
        <v>4179</v>
      </c>
      <c r="D132" s="1481" t="s">
        <v>4171</v>
      </c>
      <c r="E132" s="1482"/>
      <c r="F132" s="1483"/>
      <c r="G132" s="1201" t="s">
        <v>4174</v>
      </c>
      <c r="H132" s="1201"/>
      <c r="I132" s="1201" t="s">
        <v>4175</v>
      </c>
      <c r="J132" s="1201" t="s">
        <v>4176</v>
      </c>
      <c r="K132" s="1201"/>
      <c r="L132" s="1201"/>
      <c r="M132" s="893"/>
      <c r="N132" s="893"/>
      <c r="O132" s="1426" t="s">
        <v>447</v>
      </c>
      <c r="P132" s="1486" t="s">
        <v>3347</v>
      </c>
      <c r="Q132" s="1487" t="s">
        <v>3333</v>
      </c>
      <c r="R132" s="1487"/>
      <c r="S132" s="1487"/>
      <c r="T132" s="1487"/>
      <c r="U132" s="1487"/>
      <c r="V132" s="1487"/>
      <c r="W132" s="1487" t="s">
        <v>3333</v>
      </c>
      <c r="X132" s="1487"/>
      <c r="Y132" s="1487"/>
      <c r="Z132" s="1487"/>
      <c r="AA132" s="1487"/>
      <c r="AB132" s="1487"/>
      <c r="AC132" s="1487"/>
    </row>
    <row r="133" spans="1:31" ht="58.15" customHeight="1" x14ac:dyDescent="0.25">
      <c r="A133" s="1200"/>
      <c r="B133" s="1200"/>
      <c r="C133" s="1200"/>
      <c r="D133" s="891" t="s">
        <v>4178</v>
      </c>
      <c r="E133" s="891" t="s">
        <v>4173</v>
      </c>
      <c r="F133" s="891" t="s">
        <v>4172</v>
      </c>
      <c r="G133" s="886" t="s">
        <v>1</v>
      </c>
      <c r="H133" s="886" t="s">
        <v>4174</v>
      </c>
      <c r="I133" s="1201"/>
      <c r="J133" s="886" t="s">
        <v>4178</v>
      </c>
      <c r="K133" s="886" t="s">
        <v>4173</v>
      </c>
      <c r="L133" s="886" t="s">
        <v>4177</v>
      </c>
      <c r="M133" s="886" t="s">
        <v>460</v>
      </c>
      <c r="N133" s="886" t="s">
        <v>462</v>
      </c>
      <c r="O133" s="1426"/>
      <c r="P133" s="1486"/>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194" t="s">
        <v>4245</v>
      </c>
      <c r="B135" s="1194"/>
      <c r="C135" s="1194"/>
      <c r="D135" s="1194"/>
      <c r="E135" s="1194"/>
      <c r="F135" s="1194"/>
      <c r="G135" s="1194"/>
      <c r="H135" s="1194"/>
      <c r="I135" s="1194"/>
      <c r="J135" s="1194"/>
      <c r="K135" s="1194"/>
      <c r="L135" s="1194"/>
      <c r="M135" s="1194"/>
      <c r="N135" s="1194"/>
      <c r="O135" s="1194"/>
      <c r="P135" s="1194"/>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194" t="s">
        <v>4244</v>
      </c>
      <c r="B137" s="1194"/>
      <c r="C137" s="1194"/>
      <c r="D137" s="1194"/>
      <c r="E137" s="1194"/>
      <c r="F137" s="1194"/>
      <c r="G137" s="1194"/>
      <c r="H137" s="1194"/>
      <c r="I137" s="1194"/>
      <c r="J137" s="1194"/>
      <c r="K137" s="1194"/>
      <c r="L137" s="1194"/>
      <c r="M137" s="1194"/>
      <c r="N137" s="1194"/>
      <c r="O137" s="1194"/>
      <c r="P137" s="1194"/>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194" t="s">
        <v>4248</v>
      </c>
      <c r="B138" s="1194"/>
      <c r="C138" s="1194"/>
      <c r="D138" s="1194"/>
      <c r="E138" s="1194"/>
      <c r="F138" s="1194"/>
      <c r="G138" s="1194"/>
      <c r="H138" s="1194"/>
      <c r="I138" s="1194"/>
      <c r="J138" s="1194"/>
      <c r="K138" s="1194"/>
      <c r="L138" s="1194"/>
      <c r="M138" s="1194"/>
      <c r="N138" s="1194"/>
      <c r="O138" s="1194"/>
      <c r="P138" s="1194"/>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33" t="s">
        <v>3407</v>
      </c>
      <c r="B139" s="1248"/>
      <c r="C139" s="1248"/>
      <c r="D139" s="1248"/>
      <c r="E139" s="1248"/>
      <c r="F139" s="1248"/>
      <c r="G139" s="1248"/>
      <c r="H139" s="1248"/>
      <c r="I139" s="1248"/>
      <c r="J139" s="1248"/>
      <c r="K139" s="1248"/>
      <c r="L139" s="1248"/>
      <c r="M139" s="1248"/>
      <c r="N139" s="1248"/>
      <c r="O139" s="1248"/>
      <c r="P139" s="1266"/>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200" t="s">
        <v>3139</v>
      </c>
      <c r="B142" s="1200"/>
      <c r="C142" s="1200" t="s">
        <v>4179</v>
      </c>
      <c r="D142" s="1481" t="s">
        <v>4171</v>
      </c>
      <c r="E142" s="1482"/>
      <c r="F142" s="1483"/>
      <c r="G142" s="1201" t="s">
        <v>4174</v>
      </c>
      <c r="H142" s="1201"/>
      <c r="I142" s="1201" t="s">
        <v>4175</v>
      </c>
      <c r="J142" s="1201" t="s">
        <v>4176</v>
      </c>
      <c r="K142" s="1201"/>
      <c r="L142" s="1201"/>
      <c r="M142" s="893"/>
      <c r="N142" s="893"/>
      <c r="O142" s="1426" t="s">
        <v>447</v>
      </c>
      <c r="P142" s="1486" t="s">
        <v>3347</v>
      </c>
      <c r="Q142" s="1487" t="s">
        <v>3333</v>
      </c>
      <c r="R142" s="1487"/>
      <c r="S142" s="1487"/>
      <c r="T142" s="1487"/>
      <c r="U142" s="1487"/>
      <c r="V142" s="1487"/>
      <c r="W142" s="1487" t="s">
        <v>3333</v>
      </c>
      <c r="X142" s="1487"/>
      <c r="Y142" s="1487"/>
      <c r="Z142" s="1487"/>
      <c r="AA142" s="1487"/>
      <c r="AB142" s="1487"/>
      <c r="AC142" s="1487"/>
    </row>
    <row r="143" spans="1:31" ht="41.45" customHeight="1" x14ac:dyDescent="0.25">
      <c r="A143" s="1200"/>
      <c r="B143" s="1200"/>
      <c r="C143" s="1200"/>
      <c r="D143" s="891" t="s">
        <v>4178</v>
      </c>
      <c r="E143" s="891" t="s">
        <v>4173</v>
      </c>
      <c r="F143" s="891" t="s">
        <v>4172</v>
      </c>
      <c r="G143" s="886" t="s">
        <v>1</v>
      </c>
      <c r="H143" s="886" t="s">
        <v>4174</v>
      </c>
      <c r="I143" s="1201"/>
      <c r="J143" s="886" t="s">
        <v>4178</v>
      </c>
      <c r="K143" s="886" t="s">
        <v>4173</v>
      </c>
      <c r="L143" s="886" t="s">
        <v>4177</v>
      </c>
      <c r="M143" s="886" t="s">
        <v>460</v>
      </c>
      <c r="N143" s="886" t="s">
        <v>462</v>
      </c>
      <c r="O143" s="1426"/>
      <c r="P143" s="1486"/>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27" t="s">
        <v>2822</v>
      </c>
      <c r="B144" s="1182" t="str">
        <f>+'PLANINDICATIVO PD MAYO'!I40</f>
        <v xml:space="preserve"> HACIA LAS CERTIFICACIONES ISO 9001:2000 y NTCGP-1000</v>
      </c>
      <c r="C144" s="1182" t="str">
        <f>+'PLANINDICATIVO PD MAYO'!J40</f>
        <v>IMPLEMENTAR UN SISTEMA DE GESTIÒN INTEGRAL DE ACUERDO CON NORMATIVIDAD ISO</v>
      </c>
      <c r="D144" s="1194" t="str">
        <f>+'PLANINDICATIVO PD MAYO'!L40</f>
        <v>SISTEMA DE GESTIÒN IMPLEMENTADO</v>
      </c>
      <c r="E144" s="1191"/>
      <c r="F144" s="1491" t="str">
        <f>+'PLANINDICATIVO PD MAYO'!O40</f>
        <v>1 SISTEMA IMPLEMENTADO</v>
      </c>
      <c r="G144" s="806" t="s">
        <v>3898</v>
      </c>
      <c r="H144" s="174" t="s">
        <v>3145</v>
      </c>
      <c r="I144" s="174"/>
      <c r="J144" s="174"/>
      <c r="K144" s="174"/>
      <c r="L144" s="174"/>
      <c r="M144" s="155">
        <v>30000000</v>
      </c>
      <c r="N144" s="155">
        <f>+M144</f>
        <v>30000000</v>
      </c>
      <c r="O144" s="151">
        <v>510</v>
      </c>
      <c r="P144" s="1402"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183"/>
      <c r="B145" s="1184"/>
      <c r="C145" s="1184"/>
      <c r="D145" s="1194"/>
      <c r="E145" s="1193"/>
      <c r="F145" s="1194"/>
      <c r="G145" s="806" t="s">
        <v>3899</v>
      </c>
      <c r="H145" s="174" t="s">
        <v>3900</v>
      </c>
      <c r="I145" s="174"/>
      <c r="J145" s="174"/>
      <c r="K145" s="174"/>
      <c r="L145" s="174"/>
      <c r="M145" s="155">
        <v>30000000</v>
      </c>
      <c r="N145" s="155">
        <f>+M145</f>
        <v>30000000</v>
      </c>
      <c r="O145" s="151">
        <v>510</v>
      </c>
      <c r="P145" s="1403"/>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194" t="s">
        <v>4251</v>
      </c>
      <c r="B146" s="1194"/>
      <c r="C146" s="1194"/>
      <c r="D146" s="1194"/>
      <c r="E146" s="1194"/>
      <c r="F146" s="1194"/>
      <c r="G146" s="1194"/>
      <c r="H146" s="1194"/>
      <c r="I146" s="1194"/>
      <c r="J146" s="1194"/>
      <c r="K146" s="1194"/>
      <c r="L146" s="1194"/>
      <c r="M146" s="1194"/>
      <c r="N146" s="1194"/>
      <c r="O146" s="1194"/>
      <c r="P146" s="1194"/>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194" t="s">
        <v>4252</v>
      </c>
      <c r="B148" s="1194"/>
      <c r="C148" s="1194"/>
      <c r="D148" s="1194"/>
      <c r="E148" s="1194"/>
      <c r="F148" s="1194"/>
      <c r="G148" s="1194"/>
      <c r="H148" s="1194"/>
      <c r="I148" s="1194"/>
      <c r="J148" s="1194"/>
      <c r="K148" s="1194"/>
      <c r="L148" s="1194"/>
      <c r="M148" s="1194"/>
      <c r="N148" s="1194"/>
      <c r="O148" s="1194"/>
      <c r="P148" s="1194"/>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194" t="s">
        <v>4253</v>
      </c>
      <c r="B149" s="1194"/>
      <c r="C149" s="1194"/>
      <c r="D149" s="1194"/>
      <c r="E149" s="1194"/>
      <c r="F149" s="1194"/>
      <c r="G149" s="1194"/>
      <c r="H149" s="1194"/>
      <c r="I149" s="1194"/>
      <c r="J149" s="1194"/>
      <c r="K149" s="1194"/>
      <c r="L149" s="1194"/>
      <c r="M149" s="1194"/>
      <c r="N149" s="1194"/>
      <c r="O149" s="1194"/>
      <c r="P149" s="1194"/>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200" t="s">
        <v>3139</v>
      </c>
      <c r="B152" s="1200"/>
      <c r="C152" s="1200" t="s">
        <v>4179</v>
      </c>
      <c r="D152" s="1481" t="s">
        <v>4171</v>
      </c>
      <c r="E152" s="1482"/>
      <c r="F152" s="1483"/>
      <c r="G152" s="1201" t="s">
        <v>4174</v>
      </c>
      <c r="H152" s="1201"/>
      <c r="I152" s="1201" t="s">
        <v>4175</v>
      </c>
      <c r="J152" s="1201" t="s">
        <v>4176</v>
      </c>
      <c r="K152" s="1201"/>
      <c r="L152" s="1201"/>
      <c r="M152" s="893"/>
      <c r="N152" s="893"/>
      <c r="O152" s="1426" t="s">
        <v>447</v>
      </c>
      <c r="P152" s="1486" t="s">
        <v>3347</v>
      </c>
      <c r="Q152" s="1487" t="s">
        <v>3333</v>
      </c>
      <c r="R152" s="1487"/>
      <c r="S152" s="1487"/>
      <c r="T152" s="1487"/>
      <c r="U152" s="1487"/>
      <c r="V152" s="1487"/>
      <c r="W152" s="1487" t="s">
        <v>3333</v>
      </c>
      <c r="X152" s="1487"/>
      <c r="Y152" s="1487"/>
      <c r="Z152" s="1487"/>
      <c r="AA152" s="1487"/>
      <c r="AB152" s="1487"/>
      <c r="AC152" s="1487"/>
    </row>
    <row r="153" spans="1:31" ht="42.6" customHeight="1" x14ac:dyDescent="0.25">
      <c r="A153" s="1200"/>
      <c r="B153" s="1200"/>
      <c r="C153" s="1200"/>
      <c r="D153" s="891" t="s">
        <v>4178</v>
      </c>
      <c r="E153" s="891" t="s">
        <v>4173</v>
      </c>
      <c r="F153" s="891" t="s">
        <v>4172</v>
      </c>
      <c r="G153" s="886" t="s">
        <v>1</v>
      </c>
      <c r="H153" s="886" t="s">
        <v>4174</v>
      </c>
      <c r="I153" s="1201"/>
      <c r="J153" s="886" t="s">
        <v>4178</v>
      </c>
      <c r="K153" s="886" t="s">
        <v>4173</v>
      </c>
      <c r="L153" s="886" t="s">
        <v>4177</v>
      </c>
      <c r="M153" s="886" t="s">
        <v>460</v>
      </c>
      <c r="N153" s="886" t="s">
        <v>462</v>
      </c>
      <c r="O153" s="1426"/>
      <c r="P153" s="1486"/>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194" t="s">
        <v>3032</v>
      </c>
      <c r="B154" s="1194" t="str">
        <f>+'PLANINDICATIVO PD MAYO'!I42</f>
        <v>CONSTRUCCIÓN, ADECUACIÓN Y MANTENIMIENTO DE INFRAESTRUCTURA FÍSICA (PLANTA FÍSICA TODAS LAS SEDES)</v>
      </c>
      <c r="C154" s="1194" t="str">
        <f>+'PLANINDICATIVO PD MAYO'!J42</f>
        <v xml:space="preserve">9210 NUEVOS M2 CONSTRUIDOS, 1.000 ADECUADOS Y 12.500 (Incluye estudios, diseños e interventorías) MANTENIDOS EN TODAS LAS SEDES </v>
      </c>
      <c r="D154" s="1194" t="str">
        <f>+'PLANINDICATIVO PD MAYO'!L42</f>
        <v>M2 CONSTRUIDOS, M2 ADECUADOS, Y M2 MANTENIDOS EN TODAS LA SEDES</v>
      </c>
      <c r="E154" s="1194"/>
      <c r="F154" s="1194"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194"/>
      <c r="B155" s="1194"/>
      <c r="C155" s="1194"/>
      <c r="D155" s="1194"/>
      <c r="E155" s="1194"/>
      <c r="F155" s="1194"/>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194"/>
      <c r="B156" s="1194"/>
      <c r="C156" s="1194"/>
      <c r="D156" s="1194"/>
      <c r="E156" s="1194"/>
      <c r="F156" s="1194"/>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194"/>
      <c r="B157" s="1194"/>
      <c r="C157" s="1194"/>
      <c r="D157" s="1194"/>
      <c r="E157" s="1194"/>
      <c r="F157" s="1194"/>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194" t="s">
        <v>4255</v>
      </c>
      <c r="B159" s="1194"/>
      <c r="C159" s="1194"/>
      <c r="D159" s="1194"/>
      <c r="E159" s="1194"/>
      <c r="F159" s="1194"/>
      <c r="G159" s="1194"/>
      <c r="H159" s="1194"/>
      <c r="I159" s="1194"/>
      <c r="J159" s="1194"/>
      <c r="K159" s="1194"/>
      <c r="L159" s="1194"/>
      <c r="M159" s="1194"/>
      <c r="N159" s="1194"/>
      <c r="O159" s="1194"/>
      <c r="P159" s="1194"/>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194" t="s">
        <v>3032</v>
      </c>
      <c r="B160" s="1194" t="str">
        <f>+'PLANINDICATIVO PD MAYO'!I43</f>
        <v>DOTACIÓN Y MANTENIMIENTO DE EQUIPOS (DOTACIÓN OFICINAS Y AULAS TODAS LAS SEDES)</v>
      </c>
      <c r="C160" s="1194" t="str">
        <f>+'PLANINDICATIVO PD MAYO'!J43</f>
        <v xml:space="preserve">DOTAR 130 AULAS Y 130 OFICINAS PARA DOCENTES Y ADMINISTRATIVOS </v>
      </c>
      <c r="D160" s="1194" t="str">
        <f>+'PLANINDICATIVO PD MAYO'!L43</f>
        <v>NÙMERO DE AULAS Y OFICINAS DOTADAS</v>
      </c>
      <c r="E160" s="1194"/>
      <c r="F160" s="1194" t="str">
        <f>+'PLANINDICATIVO PD MAYO'!O43</f>
        <v xml:space="preserve">30 AULAS Y 30 OFICINAS </v>
      </c>
      <c r="G160" s="2" t="s">
        <v>3911</v>
      </c>
      <c r="H160" s="174" t="s">
        <v>3910</v>
      </c>
      <c r="I160" s="174"/>
      <c r="J160" s="174"/>
      <c r="K160" s="174"/>
      <c r="L160" s="174"/>
      <c r="M160" s="155">
        <v>10000000</v>
      </c>
      <c r="N160" s="155">
        <v>21763332</v>
      </c>
      <c r="O160" s="151">
        <v>211</v>
      </c>
      <c r="P160" s="1474"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194"/>
      <c r="B161" s="1194"/>
      <c r="C161" s="1194"/>
      <c r="D161" s="1194"/>
      <c r="E161" s="1194"/>
      <c r="F161" s="1194"/>
      <c r="G161" s="2" t="s">
        <v>3912</v>
      </c>
      <c r="H161" s="174" t="s">
        <v>3917</v>
      </c>
      <c r="I161" s="174"/>
      <c r="J161" s="174"/>
      <c r="K161" s="174"/>
      <c r="L161" s="174"/>
      <c r="M161" s="155">
        <v>30000000</v>
      </c>
      <c r="N161" s="155">
        <v>68513332</v>
      </c>
      <c r="O161" s="151">
        <v>211</v>
      </c>
      <c r="P161" s="1475"/>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194"/>
      <c r="B162" s="1194"/>
      <c r="C162" s="1194"/>
      <c r="D162" s="1194"/>
      <c r="E162" s="1194"/>
      <c r="F162" s="1194"/>
      <c r="G162" s="2" t="s">
        <v>3913</v>
      </c>
      <c r="H162" s="174" t="s">
        <v>3918</v>
      </c>
      <c r="I162" s="174"/>
      <c r="J162" s="174"/>
      <c r="K162" s="174"/>
      <c r="L162" s="174"/>
      <c r="M162" s="155">
        <v>590000000</v>
      </c>
      <c r="N162" s="155">
        <v>907756276</v>
      </c>
      <c r="O162" s="151">
        <v>211</v>
      </c>
      <c r="P162" s="1475"/>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194" t="str">
        <f>+A160</f>
        <v>PY.4.2.1</v>
      </c>
      <c r="B163" s="1194" t="str">
        <f>+B160</f>
        <v>DOTACIÓN Y MANTENIMIENTO DE EQUIPOS (DOTACIÓN OFICINAS Y AULAS TODAS LAS SEDES)</v>
      </c>
      <c r="C163" s="1194" t="str">
        <f>+C160</f>
        <v xml:space="preserve">DOTAR 130 AULAS Y 130 OFICINAS PARA DOCENTES Y ADMINISTRATIVOS </v>
      </c>
      <c r="D163" s="1194" t="str">
        <f>+D160</f>
        <v>NÙMERO DE AULAS Y OFICINAS DOTADAS</v>
      </c>
      <c r="E163" s="1194"/>
      <c r="F163" s="1194" t="str">
        <f>+F160</f>
        <v xml:space="preserve">30 AULAS Y 30 OFICINAS </v>
      </c>
      <c r="G163" s="2" t="s">
        <v>3914</v>
      </c>
      <c r="H163" s="154" t="s">
        <v>3919</v>
      </c>
      <c r="I163" s="154"/>
      <c r="J163" s="154"/>
      <c r="K163" s="154"/>
      <c r="L163" s="154"/>
      <c r="M163" s="155">
        <v>100000000</v>
      </c>
      <c r="N163" s="155">
        <v>86318000</v>
      </c>
      <c r="O163" s="151">
        <v>211</v>
      </c>
      <c r="P163" s="1264"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194"/>
      <c r="B164" s="1194"/>
      <c r="C164" s="1194"/>
      <c r="D164" s="1194"/>
      <c r="E164" s="1194"/>
      <c r="F164" s="1194"/>
      <c r="G164" s="2" t="s">
        <v>3915</v>
      </c>
      <c r="H164" s="154" t="s">
        <v>3920</v>
      </c>
      <c r="I164" s="154"/>
      <c r="J164" s="154"/>
      <c r="K164" s="154"/>
      <c r="L164" s="154"/>
      <c r="M164" s="155">
        <v>100000000</v>
      </c>
      <c r="N164" s="155">
        <v>400049000</v>
      </c>
      <c r="O164" s="151">
        <v>211</v>
      </c>
      <c r="P164" s="1264"/>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194"/>
      <c r="B165" s="1194"/>
      <c r="C165" s="1194"/>
      <c r="D165" s="1194"/>
      <c r="E165" s="1194"/>
      <c r="F165" s="1194"/>
      <c r="G165" s="2" t="s">
        <v>3921</v>
      </c>
      <c r="H165" s="154" t="s">
        <v>3924</v>
      </c>
      <c r="I165" s="154"/>
      <c r="J165" s="154"/>
      <c r="K165" s="154"/>
      <c r="L165" s="154"/>
      <c r="M165" s="155">
        <v>50000000</v>
      </c>
      <c r="N165" s="155">
        <v>14752000</v>
      </c>
      <c r="O165" s="151">
        <v>211</v>
      </c>
      <c r="P165" s="1264"/>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194"/>
      <c r="B166" s="1194"/>
      <c r="C166" s="1194"/>
      <c r="D166" s="1194"/>
      <c r="E166" s="1194"/>
      <c r="F166" s="1194"/>
      <c r="G166" s="2" t="s">
        <v>3922</v>
      </c>
      <c r="H166" s="154" t="s">
        <v>3925</v>
      </c>
      <c r="I166" s="154"/>
      <c r="J166" s="154"/>
      <c r="K166" s="154"/>
      <c r="L166" s="154"/>
      <c r="M166" s="155">
        <v>150000000</v>
      </c>
      <c r="N166" s="155">
        <v>689156673</v>
      </c>
      <c r="O166" s="151">
        <v>211</v>
      </c>
      <c r="P166" s="1264"/>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194"/>
      <c r="B167" s="1194"/>
      <c r="C167" s="1194"/>
      <c r="D167" s="1194"/>
      <c r="E167" s="1194"/>
      <c r="F167" s="1194"/>
      <c r="G167" s="2" t="s">
        <v>3923</v>
      </c>
      <c r="H167" s="154" t="s">
        <v>3926</v>
      </c>
      <c r="I167" s="154"/>
      <c r="J167" s="154"/>
      <c r="K167" s="154"/>
      <c r="L167" s="154"/>
      <c r="M167" s="155">
        <v>150000000</v>
      </c>
      <c r="N167" s="155">
        <v>626977688</v>
      </c>
      <c r="O167" s="151">
        <v>211</v>
      </c>
      <c r="P167" s="1265"/>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194" t="s">
        <v>4256</v>
      </c>
      <c r="B168" s="1194"/>
      <c r="C168" s="1194"/>
      <c r="D168" s="1194"/>
      <c r="E168" s="1194"/>
      <c r="F168" s="1194"/>
      <c r="G168" s="1194"/>
      <c r="H168" s="1194"/>
      <c r="I168" s="1194"/>
      <c r="J168" s="1194"/>
      <c r="K168" s="1194"/>
      <c r="L168" s="1194"/>
      <c r="M168" s="1194"/>
      <c r="N168" s="1194"/>
      <c r="O168" s="1194"/>
      <c r="P168" s="1194"/>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194" t="str">
        <f>+A163</f>
        <v>PY.4.2.1</v>
      </c>
      <c r="B169" s="1194" t="str">
        <f>+'PLANINDICATIVO PD MAYO'!I44</f>
        <v>DOTACIÓN Y MATENIMIENTO DE EQUIPOS E INSUMOS DE LABORATORIOS(DOTACIÓN LABORATORIOS TODAS LA SEDES)</v>
      </c>
      <c r="C169" s="1194" t="str">
        <f>+'PLANINDICATIVO PD MAYO'!J44</f>
        <v>CONSTRUCCIÒN DE 2 LABORATORIOS PARA INVESTIGACIÒN Y MANTENIMIENTO Y DOTACIÒN DE EQUIPOS DE 16 LABORATORIOS DE DOCENCIA E INVESTIGACIÒN</v>
      </c>
      <c r="D169" s="1194" t="str">
        <f>+'PLANINDICATIVO PD MAYO'!L44</f>
        <v xml:space="preserve">NÙMERO DE LABORATORIOS CONSTRUIDOS, DOTADOS Y MANTENIDOS </v>
      </c>
      <c r="E169" s="1194"/>
      <c r="F169" s="1194"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194"/>
      <c r="B170" s="1194"/>
      <c r="C170" s="1194"/>
      <c r="D170" s="1194"/>
      <c r="E170" s="1194"/>
      <c r="F170" s="1194"/>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194"/>
      <c r="B171" s="1194"/>
      <c r="C171" s="1194"/>
      <c r="D171" s="1194"/>
      <c r="E171" s="1194"/>
      <c r="F171" s="1194"/>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194"/>
      <c r="B172" s="1194"/>
      <c r="C172" s="1194"/>
      <c r="D172" s="1194"/>
      <c r="E172" s="1194"/>
      <c r="F172" s="1194"/>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194"/>
      <c r="B173" s="1194"/>
      <c r="C173" s="1194"/>
      <c r="D173" s="1194"/>
      <c r="E173" s="1194"/>
      <c r="F173" s="1194"/>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192" t="str">
        <f>+A169</f>
        <v>PY.4.2.1</v>
      </c>
      <c r="B174" s="1192" t="str">
        <f>+B169</f>
        <v>DOTACIÓN Y MATENIMIENTO DE EQUIPOS E INSUMOS DE LABORATORIOS(DOTACIÓN LABORATORIOS TODAS LA SEDES)</v>
      </c>
      <c r="C174" s="1192" t="str">
        <f>+C169</f>
        <v>CONSTRUCCIÒN DE 2 LABORATORIOS PARA INVESTIGACIÒN Y MANTENIMIENTO Y DOTACIÒN DE EQUIPOS DE 16 LABORATORIOS DE DOCENCIA E INVESTIGACIÒN</v>
      </c>
      <c r="D174" s="1192" t="str">
        <f>+D169</f>
        <v xml:space="preserve">NÙMERO DE LABORATORIOS CONSTRUIDOS, DOTADOS Y MANTENIDOS </v>
      </c>
      <c r="E174" s="1192"/>
      <c r="F174" s="1192"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192"/>
      <c r="B175" s="1192"/>
      <c r="C175" s="1192"/>
      <c r="D175" s="1192"/>
      <c r="E175" s="1192"/>
      <c r="F175" s="1192"/>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193"/>
      <c r="B176" s="1193"/>
      <c r="C176" s="1193"/>
      <c r="D176" s="1193"/>
      <c r="E176" s="1193"/>
      <c r="F176" s="1193"/>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194" t="str">
        <f>+A169</f>
        <v>PY.4.2.1</v>
      </c>
      <c r="B177" s="1194" t="str">
        <f>+B169</f>
        <v>DOTACIÓN Y MATENIMIENTO DE EQUIPOS E INSUMOS DE LABORATORIOS(DOTACIÓN LABORATORIOS TODAS LA SEDES)</v>
      </c>
      <c r="C177" s="1194" t="str">
        <f>+C169</f>
        <v>CONSTRUCCIÒN DE 2 LABORATORIOS PARA INVESTIGACIÒN Y MANTENIMIENTO Y DOTACIÒN DE EQUIPOS DE 16 LABORATORIOS DE DOCENCIA E INVESTIGACIÒN</v>
      </c>
      <c r="D177" s="1194" t="str">
        <f>+D169</f>
        <v xml:space="preserve">NÙMERO DE LABORATORIOS CONSTRUIDOS, DOTADOS Y MANTENIDOS </v>
      </c>
      <c r="E177" s="1194"/>
      <c r="F177" s="1194"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194"/>
      <c r="B178" s="1194"/>
      <c r="C178" s="1194"/>
      <c r="D178" s="1194"/>
      <c r="E178" s="1194"/>
      <c r="F178" s="1194"/>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194"/>
      <c r="B179" s="1194"/>
      <c r="C179" s="1194"/>
      <c r="D179" s="1194"/>
      <c r="E179" s="1194"/>
      <c r="F179" s="1194"/>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194"/>
      <c r="B180" s="1194"/>
      <c r="C180" s="1194"/>
      <c r="D180" s="1194"/>
      <c r="E180" s="1194"/>
      <c r="F180" s="1194"/>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194"/>
      <c r="B181" s="1194"/>
      <c r="C181" s="1194"/>
      <c r="D181" s="1194"/>
      <c r="E181" s="1194"/>
      <c r="F181" s="1194"/>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194"/>
      <c r="B182" s="1194"/>
      <c r="C182" s="1194"/>
      <c r="D182" s="1194"/>
      <c r="E182" s="1194"/>
      <c r="F182" s="1194"/>
      <c r="G182" s="109" t="s">
        <v>4094</v>
      </c>
      <c r="H182" s="154" t="s">
        <v>4095</v>
      </c>
      <c r="I182" s="171"/>
      <c r="J182" s="171"/>
      <c r="K182" s="171"/>
      <c r="L182" s="171"/>
      <c r="M182" s="172"/>
      <c r="N182" s="172"/>
      <c r="O182" s="151">
        <v>211</v>
      </c>
      <c r="P182" s="1493"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194"/>
      <c r="B183" s="1194"/>
      <c r="C183" s="1194"/>
      <c r="D183" s="1194"/>
      <c r="E183" s="1194"/>
      <c r="F183" s="1194"/>
      <c r="G183" s="109" t="s">
        <v>4131</v>
      </c>
      <c r="H183" s="154" t="s">
        <v>4153</v>
      </c>
      <c r="I183" s="171"/>
      <c r="J183" s="171"/>
      <c r="K183" s="171"/>
      <c r="L183" s="171"/>
      <c r="M183" s="172"/>
      <c r="N183" s="172"/>
      <c r="O183" s="151">
        <v>211</v>
      </c>
      <c r="P183" s="1494"/>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194"/>
      <c r="B184" s="1194"/>
      <c r="C184" s="1194"/>
      <c r="D184" s="1194"/>
      <c r="E184" s="1194"/>
      <c r="F184" s="1194"/>
      <c r="G184" s="109" t="s">
        <v>4132</v>
      </c>
      <c r="H184" s="154" t="s">
        <v>4133</v>
      </c>
      <c r="I184" s="171"/>
      <c r="J184" s="171"/>
      <c r="K184" s="171"/>
      <c r="L184" s="171"/>
      <c r="M184" s="172"/>
      <c r="N184" s="172"/>
      <c r="O184" s="151">
        <v>211</v>
      </c>
      <c r="P184" s="1495"/>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192" t="str">
        <f>+A177</f>
        <v>PY.4.2.1</v>
      </c>
      <c r="B185" s="1192" t="str">
        <f>+B177</f>
        <v>DOTACIÓN Y MATENIMIENTO DE EQUIPOS E INSUMOS DE LABORATORIOS(DOTACIÓN LABORATORIOS TODAS LA SEDES)</v>
      </c>
      <c r="C185" s="1192" t="str">
        <f>+C177</f>
        <v>CONSTRUCCIÒN DE 2 LABORATORIOS PARA INVESTIGACIÒN Y MANTENIMIENTO Y DOTACIÒN DE EQUIPOS DE 16 LABORATORIOS DE DOCENCIA E INVESTIGACIÒN</v>
      </c>
      <c r="D185" s="1192" t="str">
        <f>+D177</f>
        <v xml:space="preserve">NÙMERO DE LABORATORIOS CONSTRUIDOS, DOTADOS Y MANTENIDOS </v>
      </c>
      <c r="E185" s="1192"/>
      <c r="F185" s="1192"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192"/>
      <c r="B186" s="1192"/>
      <c r="C186" s="1192"/>
      <c r="D186" s="1192"/>
      <c r="E186" s="1192"/>
      <c r="F186" s="1192"/>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192"/>
      <c r="B187" s="1192"/>
      <c r="C187" s="1192"/>
      <c r="D187" s="1192"/>
      <c r="E187" s="1192"/>
      <c r="F187" s="1192"/>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193"/>
      <c r="B188" s="1193"/>
      <c r="C188" s="1193"/>
      <c r="D188" s="1193"/>
      <c r="E188" s="1193"/>
      <c r="F188" s="1193"/>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194" t="str">
        <f>+A177</f>
        <v>PY.4.2.1</v>
      </c>
      <c r="B189" s="1194" t="str">
        <f>+B177</f>
        <v>DOTACIÓN Y MATENIMIENTO DE EQUIPOS E INSUMOS DE LABORATORIOS(DOTACIÓN LABORATORIOS TODAS LA SEDES)</v>
      </c>
      <c r="C189" s="1194" t="str">
        <f>+C177</f>
        <v>CONSTRUCCIÒN DE 2 LABORATORIOS PARA INVESTIGACIÒN Y MANTENIMIENTO Y DOTACIÒN DE EQUIPOS DE 16 LABORATORIOS DE DOCENCIA E INVESTIGACIÒN</v>
      </c>
      <c r="D189" s="1194" t="str">
        <f>+D177</f>
        <v xml:space="preserve">NÙMERO DE LABORATORIOS CONSTRUIDOS, DOTADOS Y MANTENIDOS </v>
      </c>
      <c r="E189" s="1194"/>
      <c r="F189" s="1194"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194"/>
      <c r="B190" s="1194"/>
      <c r="C190" s="1194"/>
      <c r="D190" s="1194"/>
      <c r="E190" s="1194"/>
      <c r="F190" s="1194"/>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194"/>
      <c r="B191" s="1194"/>
      <c r="C191" s="1194"/>
      <c r="D191" s="1194"/>
      <c r="E191" s="1194"/>
      <c r="F191" s="1194"/>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194" t="str">
        <f>+A189</f>
        <v>PY.4.2.1</v>
      </c>
      <c r="B192" s="1194" t="str">
        <f>+B189</f>
        <v>DOTACIÓN Y MATENIMIENTO DE EQUIPOS E INSUMOS DE LABORATORIOS(DOTACIÓN LABORATORIOS TODAS LA SEDES)</v>
      </c>
      <c r="C192" s="1194" t="str">
        <f>+C189</f>
        <v>CONSTRUCCIÒN DE 2 LABORATORIOS PARA INVESTIGACIÒN Y MANTENIMIENTO Y DOTACIÒN DE EQUIPOS DE 16 LABORATORIOS DE DOCENCIA E INVESTIGACIÒN</v>
      </c>
      <c r="D192" s="1194" t="str">
        <f>+D189</f>
        <v xml:space="preserve">NÙMERO DE LABORATORIOS CONSTRUIDOS, DOTADOS Y MANTENIDOS </v>
      </c>
      <c r="E192" s="1194"/>
      <c r="F192" s="1194"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194"/>
      <c r="B193" s="1194"/>
      <c r="C193" s="1194"/>
      <c r="D193" s="1194"/>
      <c r="E193" s="1194"/>
      <c r="F193" s="1194"/>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194"/>
      <c r="B194" s="1194"/>
      <c r="C194" s="1194"/>
      <c r="D194" s="1194"/>
      <c r="E194" s="1194"/>
      <c r="F194" s="1194"/>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192" t="str">
        <f>+A189</f>
        <v>PY.4.2.1</v>
      </c>
      <c r="B195" s="1192" t="str">
        <f>+B189</f>
        <v>DOTACIÓN Y MATENIMIENTO DE EQUIPOS E INSUMOS DE LABORATORIOS(DOTACIÓN LABORATORIOS TODAS LA SEDES)</v>
      </c>
      <c r="C195" s="1192" t="str">
        <f>+C189</f>
        <v>CONSTRUCCIÒN DE 2 LABORATORIOS PARA INVESTIGACIÒN Y MANTENIMIENTO Y DOTACIÒN DE EQUIPOS DE 16 LABORATORIOS DE DOCENCIA E INVESTIGACIÒN</v>
      </c>
      <c r="D195" s="1192" t="str">
        <f>+D189</f>
        <v xml:space="preserve">NÙMERO DE LABORATORIOS CONSTRUIDOS, DOTADOS Y MANTENIDOS </v>
      </c>
      <c r="E195" s="1192"/>
      <c r="F195" s="1192"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192"/>
      <c r="B196" s="1192"/>
      <c r="C196" s="1192"/>
      <c r="D196" s="1192"/>
      <c r="E196" s="1192"/>
      <c r="F196" s="1192"/>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192"/>
      <c r="B197" s="1192"/>
      <c r="C197" s="1192"/>
      <c r="D197" s="1192"/>
      <c r="E197" s="1192"/>
      <c r="F197" s="1192"/>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193"/>
      <c r="B198" s="1193"/>
      <c r="C198" s="1193"/>
      <c r="D198" s="1193"/>
      <c r="E198" s="1193"/>
      <c r="F198" s="1193"/>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194" t="str">
        <f>+A189</f>
        <v>PY.4.2.1</v>
      </c>
      <c r="B199" s="1194" t="str">
        <f>+B189</f>
        <v>DOTACIÓN Y MATENIMIENTO DE EQUIPOS E INSUMOS DE LABORATORIOS(DOTACIÓN LABORATORIOS TODAS LA SEDES)</v>
      </c>
      <c r="C199" s="1194" t="str">
        <f>+C189</f>
        <v>CONSTRUCCIÒN DE 2 LABORATORIOS PARA INVESTIGACIÒN Y MANTENIMIENTO Y DOTACIÒN DE EQUIPOS DE 16 LABORATORIOS DE DOCENCIA E INVESTIGACIÒN</v>
      </c>
      <c r="D199" s="1194" t="str">
        <f>+D189</f>
        <v xml:space="preserve">NÙMERO DE LABORATORIOS CONSTRUIDOS, DOTADOS Y MANTENIDOS </v>
      </c>
      <c r="E199" s="1194"/>
      <c r="F199" s="1194"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194"/>
      <c r="B200" s="1194"/>
      <c r="C200" s="1194"/>
      <c r="D200" s="1194"/>
      <c r="E200" s="1194"/>
      <c r="F200" s="1194"/>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194"/>
      <c r="B201" s="1194"/>
      <c r="C201" s="1194"/>
      <c r="D201" s="1194"/>
      <c r="E201" s="1194"/>
      <c r="F201" s="1194"/>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194"/>
      <c r="B202" s="1194"/>
      <c r="C202" s="1194"/>
      <c r="D202" s="1194"/>
      <c r="E202" s="1194"/>
      <c r="F202" s="1194"/>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194"/>
      <c r="B203" s="1194"/>
      <c r="C203" s="1194"/>
      <c r="D203" s="1194"/>
      <c r="E203" s="1194"/>
      <c r="F203" s="1194"/>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194"/>
      <c r="B204" s="1194"/>
      <c r="C204" s="1194"/>
      <c r="D204" s="1194"/>
      <c r="E204" s="1194"/>
      <c r="F204" s="1194"/>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192" t="str">
        <f>+A199</f>
        <v>PY.4.2.1</v>
      </c>
      <c r="B205" s="1192" t="str">
        <f>+B199</f>
        <v>DOTACIÓN Y MATENIMIENTO DE EQUIPOS E INSUMOS DE LABORATORIOS(DOTACIÓN LABORATORIOS TODAS LA SEDES)</v>
      </c>
      <c r="C205" s="1192" t="str">
        <f>+C199</f>
        <v>CONSTRUCCIÒN DE 2 LABORATORIOS PARA INVESTIGACIÒN Y MANTENIMIENTO Y DOTACIÒN DE EQUIPOS DE 16 LABORATORIOS DE DOCENCIA E INVESTIGACIÒN</v>
      </c>
      <c r="D205" s="1192" t="str">
        <f>+D199</f>
        <v xml:space="preserve">NÙMERO DE LABORATORIOS CONSTRUIDOS, DOTADOS Y MANTENIDOS </v>
      </c>
      <c r="E205" s="1192"/>
      <c r="F205" s="1192"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192"/>
      <c r="B206" s="1192"/>
      <c r="C206" s="1192"/>
      <c r="D206" s="1192"/>
      <c r="E206" s="1192"/>
      <c r="F206" s="1192"/>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192"/>
      <c r="B207" s="1192"/>
      <c r="C207" s="1192"/>
      <c r="D207" s="1192"/>
      <c r="E207" s="1192"/>
      <c r="F207" s="1192"/>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193"/>
      <c r="B208" s="1193"/>
      <c r="C208" s="1193"/>
      <c r="D208" s="1193"/>
      <c r="E208" s="1193"/>
      <c r="F208" s="1193"/>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191" t="str">
        <f>+A199</f>
        <v>PY.4.2.1</v>
      </c>
      <c r="B209" s="1191" t="str">
        <f>+B199</f>
        <v>DOTACIÓN Y MATENIMIENTO DE EQUIPOS E INSUMOS DE LABORATORIOS(DOTACIÓN LABORATORIOS TODAS LA SEDES)</v>
      </c>
      <c r="C209" s="1191" t="str">
        <f>+C199</f>
        <v>CONSTRUCCIÒN DE 2 LABORATORIOS PARA INVESTIGACIÒN Y MANTENIMIENTO Y DOTACIÒN DE EQUIPOS DE 16 LABORATORIOS DE DOCENCIA E INVESTIGACIÒN</v>
      </c>
      <c r="D209" s="1191" t="str">
        <f>+D199</f>
        <v xml:space="preserve">NÙMERO DE LABORATORIOS CONSTRUIDOS, DOTADOS Y MANTENIDOS </v>
      </c>
      <c r="E209" s="1191"/>
      <c r="F209" s="1191"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192"/>
      <c r="B210" s="1192"/>
      <c r="C210" s="1192"/>
      <c r="D210" s="1192"/>
      <c r="E210" s="1192"/>
      <c r="F210" s="1192"/>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192"/>
      <c r="B211" s="1192"/>
      <c r="C211" s="1192"/>
      <c r="D211" s="1192"/>
      <c r="E211" s="1192"/>
      <c r="F211" s="1192"/>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193"/>
      <c r="B212" s="1193"/>
      <c r="C212" s="1193"/>
      <c r="D212" s="1193"/>
      <c r="E212" s="1193"/>
      <c r="F212" s="1193"/>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194" t="s">
        <v>4257</v>
      </c>
      <c r="B213" s="1194"/>
      <c r="C213" s="1194"/>
      <c r="D213" s="1194"/>
      <c r="E213" s="1194"/>
      <c r="F213" s="1194"/>
      <c r="G213" s="1194"/>
      <c r="H213" s="1194"/>
      <c r="I213" s="1194"/>
      <c r="J213" s="1194"/>
      <c r="K213" s="1194"/>
      <c r="L213" s="1194"/>
      <c r="M213" s="1194"/>
      <c r="N213" s="1194"/>
      <c r="O213" s="1194"/>
      <c r="P213" s="1194"/>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194" t="s">
        <v>4258</v>
      </c>
      <c r="B215" s="1194"/>
      <c r="C215" s="1194"/>
      <c r="D215" s="1194"/>
      <c r="E215" s="1194"/>
      <c r="F215" s="1194"/>
      <c r="G215" s="1194"/>
      <c r="H215" s="1194"/>
      <c r="I215" s="1194"/>
      <c r="J215" s="1194"/>
      <c r="K215" s="1194"/>
      <c r="L215" s="1194"/>
      <c r="M215" s="1194"/>
      <c r="N215" s="1194"/>
      <c r="O215" s="1194"/>
      <c r="P215" s="1194"/>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194" t="s">
        <v>4259</v>
      </c>
      <c r="B217" s="1194"/>
      <c r="C217" s="1194"/>
      <c r="D217" s="1194"/>
      <c r="E217" s="1194"/>
      <c r="F217" s="1194"/>
      <c r="G217" s="1194"/>
      <c r="H217" s="1194"/>
      <c r="I217" s="1194"/>
      <c r="J217" s="1194"/>
      <c r="K217" s="1194"/>
      <c r="L217" s="1194"/>
      <c r="M217" s="1194"/>
      <c r="N217" s="1194"/>
      <c r="O217" s="1194"/>
      <c r="P217" s="1194"/>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194" t="s">
        <v>4260</v>
      </c>
      <c r="B218" s="1194"/>
      <c r="C218" s="1194"/>
      <c r="D218" s="1194"/>
      <c r="E218" s="1194"/>
      <c r="F218" s="1194"/>
      <c r="G218" s="1194"/>
      <c r="H218" s="1194"/>
      <c r="I218" s="1194"/>
      <c r="J218" s="1194"/>
      <c r="K218" s="1194"/>
      <c r="L218" s="1194"/>
      <c r="M218" s="1194"/>
      <c r="N218" s="1194"/>
      <c r="O218" s="1194"/>
      <c r="P218" s="1194"/>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48" t="s">
        <v>3408</v>
      </c>
      <c r="B219" s="1248"/>
      <c r="C219" s="1248"/>
      <c r="D219" s="1248"/>
      <c r="E219" s="1248"/>
      <c r="F219" s="1248"/>
      <c r="G219" s="1248"/>
      <c r="H219" s="1248"/>
      <c r="I219" s="1248"/>
      <c r="J219" s="1248"/>
      <c r="K219" s="1248"/>
      <c r="L219" s="1248"/>
      <c r="M219" s="1248"/>
      <c r="N219" s="1248"/>
      <c r="O219" s="1248"/>
      <c r="P219" s="1266"/>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194" t="s">
        <v>4264</v>
      </c>
      <c r="B223" s="1194"/>
      <c r="C223" s="1194"/>
      <c r="D223" s="1194"/>
      <c r="E223" s="1194"/>
      <c r="F223" s="1194"/>
      <c r="G223" s="1194"/>
      <c r="H223" s="1194"/>
      <c r="I223" s="1194"/>
      <c r="J223" s="1194"/>
      <c r="K223" s="1194"/>
      <c r="L223" s="1194"/>
      <c r="M223" s="1194"/>
      <c r="N223" s="1194"/>
      <c r="O223" s="1194"/>
      <c r="P223" s="1194"/>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194" t="s">
        <v>4265</v>
      </c>
      <c r="B225" s="1194"/>
      <c r="C225" s="1194"/>
      <c r="D225" s="1194"/>
      <c r="E225" s="1194"/>
      <c r="F225" s="1194"/>
      <c r="G225" s="1194"/>
      <c r="H225" s="1194"/>
      <c r="I225" s="1194"/>
      <c r="J225" s="1194"/>
      <c r="K225" s="1194"/>
      <c r="L225" s="1194"/>
      <c r="M225" s="1194"/>
      <c r="N225" s="1194"/>
      <c r="O225" s="1194"/>
      <c r="P225" s="1194"/>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194" t="s">
        <v>4263</v>
      </c>
      <c r="B226" s="1194"/>
      <c r="C226" s="1194"/>
      <c r="D226" s="1194"/>
      <c r="E226" s="1194"/>
      <c r="F226" s="1194"/>
      <c r="G226" s="1194"/>
      <c r="H226" s="1194"/>
      <c r="I226" s="1194"/>
      <c r="J226" s="1194"/>
      <c r="K226" s="1194"/>
      <c r="L226" s="1194"/>
      <c r="M226" s="1194"/>
      <c r="N226" s="1194"/>
      <c r="O226" s="1194"/>
      <c r="P226" s="1194"/>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33" t="s">
        <v>3409</v>
      </c>
      <c r="B227" s="1248"/>
      <c r="C227" s="1248"/>
      <c r="D227" s="1248"/>
      <c r="E227" s="1248"/>
      <c r="F227" s="1248"/>
      <c r="G227" s="1248"/>
      <c r="H227" s="1248"/>
      <c r="I227" s="1248"/>
      <c r="J227" s="1248"/>
      <c r="K227" s="1248"/>
      <c r="L227" s="1248"/>
      <c r="M227" s="1248"/>
      <c r="N227" s="1248"/>
      <c r="O227" s="1248"/>
      <c r="P227" s="1266"/>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200" t="s">
        <v>3139</v>
      </c>
      <c r="B230" s="1200"/>
      <c r="C230" s="1200" t="s">
        <v>4179</v>
      </c>
      <c r="D230" s="1481" t="s">
        <v>4171</v>
      </c>
      <c r="E230" s="1482"/>
      <c r="F230" s="1483"/>
      <c r="G230" s="1201" t="s">
        <v>4174</v>
      </c>
      <c r="H230" s="1201"/>
      <c r="I230" s="1201" t="s">
        <v>4175</v>
      </c>
      <c r="J230" s="1201" t="s">
        <v>4176</v>
      </c>
      <c r="K230" s="1201"/>
      <c r="L230" s="1201"/>
      <c r="M230" s="893"/>
      <c r="N230" s="893"/>
      <c r="O230" s="1426" t="s">
        <v>447</v>
      </c>
      <c r="P230" s="1484" t="s">
        <v>3347</v>
      </c>
      <c r="Q230" s="1487" t="s">
        <v>3333</v>
      </c>
      <c r="R230" s="1487"/>
      <c r="S230" s="1487"/>
      <c r="T230" s="1487"/>
      <c r="U230" s="1487"/>
      <c r="V230" s="1487"/>
      <c r="W230" s="1487" t="s">
        <v>3333</v>
      </c>
      <c r="X230" s="1487"/>
      <c r="Y230" s="1487"/>
      <c r="Z230" s="1487"/>
      <c r="AA230" s="1487"/>
      <c r="AB230" s="1487"/>
      <c r="AC230" s="1487"/>
    </row>
    <row r="231" spans="1:31" ht="51.6" customHeight="1" x14ac:dyDescent="0.25">
      <c r="A231" s="1200"/>
      <c r="B231" s="1200"/>
      <c r="C231" s="1200"/>
      <c r="D231" s="899" t="s">
        <v>4178</v>
      </c>
      <c r="E231" s="899" t="s">
        <v>4173</v>
      </c>
      <c r="F231" s="899" t="s">
        <v>4172</v>
      </c>
      <c r="G231" s="900" t="s">
        <v>1</v>
      </c>
      <c r="H231" s="900" t="s">
        <v>4174</v>
      </c>
      <c r="I231" s="1201"/>
      <c r="J231" s="900" t="s">
        <v>4178</v>
      </c>
      <c r="K231" s="900" t="s">
        <v>4173</v>
      </c>
      <c r="L231" s="900" t="s">
        <v>4177</v>
      </c>
      <c r="M231" s="900" t="s">
        <v>460</v>
      </c>
      <c r="N231" s="900" t="s">
        <v>462</v>
      </c>
      <c r="O231" s="1426"/>
      <c r="P231" s="1484"/>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182" t="s">
        <v>2830</v>
      </c>
      <c r="B232" s="1182" t="str">
        <f>+'PLANINDICATIVO PD MAYO'!I54</f>
        <v xml:space="preserve"> FORMACIÓN Y CAPACITACIÓN DEL PERSONAL ADMINISTRATIVO Y OPERATIVO</v>
      </c>
      <c r="C232" s="1182" t="str">
        <f>+'PLANINDICATIVO PD MAYO'!J54</f>
        <v xml:space="preserve">IMPLEMENTAR UN PLAN DE FORMACIÒN Y CAPACITACIÒN PARA 200 FUNCIONARIOS  ADMINISTRATIVO  </v>
      </c>
      <c r="D232" s="1182" t="str">
        <f>+'PLANINDICATIVO PD MAYO'!L54</f>
        <v>NÙMERO DE FUNCIONARIOS ADMINISTRATIVOS FORMADOS Y CAPACITADOS</v>
      </c>
      <c r="E232" s="1182"/>
      <c r="F232" s="1182">
        <f>+'PLANINDICATIVO PD MAYO'!O54</f>
        <v>200</v>
      </c>
      <c r="G232" s="2" t="s">
        <v>3998</v>
      </c>
      <c r="H232" s="154" t="s">
        <v>3999</v>
      </c>
      <c r="I232" s="154"/>
      <c r="J232" s="154"/>
      <c r="K232" s="154"/>
      <c r="L232" s="154"/>
      <c r="M232" s="155">
        <v>150000000</v>
      </c>
      <c r="N232" s="155">
        <v>610600800</v>
      </c>
      <c r="O232" s="151">
        <v>310</v>
      </c>
      <c r="P232" s="1399"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183"/>
      <c r="B233" s="1183"/>
      <c r="C233" s="1183"/>
      <c r="D233" s="1183"/>
      <c r="E233" s="1183"/>
      <c r="F233" s="1183"/>
      <c r="G233" s="2" t="s">
        <v>4000</v>
      </c>
      <c r="H233" s="154" t="s">
        <v>4001</v>
      </c>
      <c r="I233" s="154"/>
      <c r="J233" s="154"/>
      <c r="K233" s="154"/>
      <c r="L233" s="154"/>
      <c r="M233" s="155"/>
      <c r="N233" s="155"/>
      <c r="O233" s="151">
        <v>310</v>
      </c>
      <c r="P233" s="1400"/>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183"/>
      <c r="B234" s="1183"/>
      <c r="C234" s="1183"/>
      <c r="D234" s="1183"/>
      <c r="E234" s="1183"/>
      <c r="F234" s="1183"/>
      <c r="G234" s="2" t="s">
        <v>4002</v>
      </c>
      <c r="H234" s="154" t="s">
        <v>4003</v>
      </c>
      <c r="I234" s="154"/>
      <c r="J234" s="154"/>
      <c r="K234" s="154"/>
      <c r="L234" s="154"/>
      <c r="M234" s="155"/>
      <c r="N234" s="155"/>
      <c r="O234" s="151">
        <v>310</v>
      </c>
      <c r="P234" s="1400"/>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184"/>
      <c r="B235" s="1184"/>
      <c r="C235" s="1184"/>
      <c r="D235" s="1184"/>
      <c r="E235" s="1184"/>
      <c r="F235" s="1184"/>
      <c r="G235" s="2" t="s">
        <v>4004</v>
      </c>
      <c r="H235" s="154" t="s">
        <v>4005</v>
      </c>
      <c r="I235" s="154"/>
      <c r="J235" s="154"/>
      <c r="K235" s="154"/>
      <c r="L235" s="154"/>
      <c r="M235" s="155"/>
      <c r="N235" s="155"/>
      <c r="O235" s="151">
        <v>310</v>
      </c>
      <c r="P235" s="1401"/>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194" t="s">
        <v>4267</v>
      </c>
      <c r="B236" s="1194"/>
      <c r="C236" s="1194"/>
      <c r="D236" s="1194"/>
      <c r="E236" s="1194"/>
      <c r="F236" s="1194"/>
      <c r="G236" s="1194"/>
      <c r="H236" s="1194"/>
      <c r="I236" s="1194"/>
      <c r="J236" s="1194"/>
      <c r="K236" s="1194"/>
      <c r="L236" s="1194"/>
      <c r="M236" s="1194"/>
      <c r="N236" s="1194"/>
      <c r="O236" s="1194"/>
      <c r="P236" s="1194"/>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194" t="s">
        <v>4268</v>
      </c>
      <c r="B238" s="1194"/>
      <c r="C238" s="1194"/>
      <c r="D238" s="1194"/>
      <c r="E238" s="1194"/>
      <c r="F238" s="1194"/>
      <c r="G238" s="1194"/>
      <c r="H238" s="1194"/>
      <c r="I238" s="1194"/>
      <c r="J238" s="1194"/>
      <c r="K238" s="1194"/>
      <c r="L238" s="1194"/>
      <c r="M238" s="1194"/>
      <c r="N238" s="1194"/>
      <c r="O238" s="1194"/>
      <c r="P238" s="1194"/>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194" t="s">
        <v>4272</v>
      </c>
      <c r="B239" s="1194"/>
      <c r="C239" s="1194"/>
      <c r="D239" s="1194"/>
      <c r="E239" s="1194"/>
      <c r="F239" s="1194"/>
      <c r="G239" s="1194"/>
      <c r="H239" s="1194"/>
      <c r="I239" s="1194"/>
      <c r="J239" s="1194"/>
      <c r="K239" s="1194"/>
      <c r="L239" s="1194"/>
      <c r="M239" s="1194"/>
      <c r="N239" s="1194"/>
      <c r="O239" s="1194"/>
      <c r="P239" s="1194"/>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200" t="s">
        <v>3139</v>
      </c>
      <c r="B242" s="1200"/>
      <c r="C242" s="1200" t="s">
        <v>4179</v>
      </c>
      <c r="D242" s="1481" t="s">
        <v>4171</v>
      </c>
      <c r="E242" s="1482"/>
      <c r="F242" s="1483"/>
      <c r="G242" s="1201" t="s">
        <v>4174</v>
      </c>
      <c r="H242" s="1201"/>
      <c r="I242" s="1201" t="s">
        <v>4175</v>
      </c>
      <c r="J242" s="1201" t="s">
        <v>4176</v>
      </c>
      <c r="K242" s="1201"/>
      <c r="L242" s="1201"/>
      <c r="M242" s="893"/>
      <c r="N242" s="893"/>
      <c r="O242" s="1426" t="s">
        <v>447</v>
      </c>
      <c r="P242" s="1484" t="s">
        <v>3347</v>
      </c>
      <c r="Q242" s="1487" t="s">
        <v>3333</v>
      </c>
      <c r="R242" s="1487"/>
      <c r="S242" s="1487"/>
      <c r="T242" s="1487"/>
      <c r="U242" s="1487"/>
      <c r="V242" s="1487"/>
      <c r="W242" s="1487" t="s">
        <v>3333</v>
      </c>
      <c r="X242" s="1487"/>
      <c r="Y242" s="1487"/>
      <c r="Z242" s="1487"/>
      <c r="AA242" s="1487"/>
      <c r="AB242" s="1487"/>
      <c r="AC242" s="1487"/>
    </row>
    <row r="243" spans="1:31" ht="52.9" customHeight="1" x14ac:dyDescent="0.25">
      <c r="A243" s="1200"/>
      <c r="B243" s="1200"/>
      <c r="C243" s="1200"/>
      <c r="D243" s="906" t="s">
        <v>4178</v>
      </c>
      <c r="E243" s="906" t="s">
        <v>4173</v>
      </c>
      <c r="F243" s="906" t="s">
        <v>4172</v>
      </c>
      <c r="G243" s="904" t="s">
        <v>1</v>
      </c>
      <c r="H243" s="904" t="s">
        <v>4174</v>
      </c>
      <c r="I243" s="1201"/>
      <c r="J243" s="904" t="s">
        <v>4178</v>
      </c>
      <c r="K243" s="904" t="s">
        <v>4173</v>
      </c>
      <c r="L243" s="904" t="s">
        <v>4177</v>
      </c>
      <c r="M243" s="904" t="s">
        <v>460</v>
      </c>
      <c r="N243" s="904" t="s">
        <v>462</v>
      </c>
      <c r="O243" s="1426"/>
      <c r="P243" s="1484"/>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194" t="s">
        <v>2841</v>
      </c>
      <c r="B244" s="1194"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83"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194"/>
      <c r="B245" s="1194"/>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84"/>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194"/>
      <c r="B246" s="1194"/>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305"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194"/>
      <c r="B247" s="1194"/>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305"/>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194"/>
      <c r="B248" s="1194"/>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305"/>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194" t="s">
        <v>4269</v>
      </c>
      <c r="B250" s="1194"/>
      <c r="C250" s="1194"/>
      <c r="D250" s="1194"/>
      <c r="E250" s="1194"/>
      <c r="F250" s="1194"/>
      <c r="G250" s="1194"/>
      <c r="H250" s="1194"/>
      <c r="I250" s="1194"/>
      <c r="J250" s="1194"/>
      <c r="K250" s="1194"/>
      <c r="L250" s="1194"/>
      <c r="M250" s="1194"/>
      <c r="N250" s="1194"/>
      <c r="O250" s="1194"/>
      <c r="P250" s="1194"/>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194" t="s">
        <v>4270</v>
      </c>
      <c r="B252" s="1194"/>
      <c r="C252" s="1194"/>
      <c r="D252" s="1194"/>
      <c r="E252" s="1194"/>
      <c r="F252" s="1194"/>
      <c r="G252" s="1194"/>
      <c r="H252" s="1194"/>
      <c r="I252" s="1194"/>
      <c r="J252" s="1194"/>
      <c r="K252" s="1194"/>
      <c r="L252" s="1194"/>
      <c r="M252" s="1194"/>
      <c r="N252" s="1194"/>
      <c r="O252" s="1194"/>
      <c r="P252" s="1194"/>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27" t="s">
        <v>2870</v>
      </c>
      <c r="B253" s="1227"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99"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183"/>
      <c r="B254" s="1183"/>
      <c r="C254" s="1228" t="str">
        <f>+'PLANINDICATIVO PD MAYO'!J64</f>
        <v>REALIZAR 50 ACTIVIDADES AÑO DE BIENESTAR (RECREACIÒN, CULTURA DEPORTE FORMATIVAS Y ARTÌSTICAS</v>
      </c>
      <c r="D254" s="1194" t="str">
        <f>+'PLANINDICATIVO PD MAYO'!L64</f>
        <v>NÙMERO DE ACTIVIDADES/AÑO DE BIENESTAR UNIVERSITARIO</v>
      </c>
      <c r="E254" s="1191"/>
      <c r="F254" s="1191">
        <f>+'PLANINDICATIVO PD MAYO'!O64</f>
        <v>50</v>
      </c>
      <c r="G254" s="2" t="s">
        <v>4016</v>
      </c>
      <c r="H254" s="171" t="s">
        <v>672</v>
      </c>
      <c r="I254" s="154"/>
      <c r="J254" s="154"/>
      <c r="K254" s="154"/>
      <c r="L254" s="154"/>
      <c r="M254" s="155">
        <v>120000000</v>
      </c>
      <c r="N254" s="155">
        <v>365975023</v>
      </c>
      <c r="O254" s="151">
        <v>301</v>
      </c>
      <c r="P254" s="1499"/>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413"/>
      <c r="B255" s="1413"/>
      <c r="C255" s="1485"/>
      <c r="D255" s="1194"/>
      <c r="E255" s="1193"/>
      <c r="F255" s="1193"/>
      <c r="G255" s="848" t="s">
        <v>4017</v>
      </c>
      <c r="H255" s="331" t="s">
        <v>128</v>
      </c>
      <c r="I255" s="697"/>
      <c r="J255" s="171"/>
      <c r="K255" s="171"/>
      <c r="L255" s="171"/>
      <c r="M255" s="172">
        <v>80000000</v>
      </c>
      <c r="N255" s="172">
        <v>117299875</v>
      </c>
      <c r="O255" s="561">
        <v>301</v>
      </c>
      <c r="P255" s="1499"/>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194" t="s">
        <v>4271</v>
      </c>
      <c r="B256" s="1194"/>
      <c r="C256" s="1194"/>
      <c r="D256" s="1194"/>
      <c r="E256" s="1194"/>
      <c r="F256" s="1194"/>
      <c r="G256" s="1194"/>
      <c r="H256" s="1194"/>
      <c r="I256" s="1194"/>
      <c r="J256" s="1194"/>
      <c r="K256" s="1194"/>
      <c r="L256" s="1194"/>
      <c r="M256" s="1194"/>
      <c r="N256" s="1194"/>
      <c r="O256" s="1194"/>
      <c r="P256" s="1194"/>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194" t="s">
        <v>4274</v>
      </c>
      <c r="B257" s="1194"/>
      <c r="C257" s="1194"/>
      <c r="D257" s="1194"/>
      <c r="E257" s="1194"/>
      <c r="F257" s="1194"/>
      <c r="G257" s="1194"/>
      <c r="H257" s="1194"/>
      <c r="I257" s="1194"/>
      <c r="J257" s="1194"/>
      <c r="K257" s="1194"/>
      <c r="L257" s="1194"/>
      <c r="M257" s="1194"/>
      <c r="N257" s="1194"/>
      <c r="O257" s="1194"/>
      <c r="P257" s="1194"/>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33" t="s">
        <v>3410</v>
      </c>
      <c r="B258" s="1248"/>
      <c r="C258" s="1248"/>
      <c r="D258" s="1248"/>
      <c r="E258" s="1248"/>
      <c r="F258" s="1248"/>
      <c r="G258" s="1248"/>
      <c r="H258" s="1248"/>
      <c r="I258" s="1248"/>
      <c r="J258" s="1248"/>
      <c r="K258" s="1248"/>
      <c r="L258" s="1248"/>
      <c r="M258" s="1248"/>
      <c r="N258" s="1248"/>
      <c r="O258" s="1248"/>
      <c r="P258" s="1266"/>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200" t="s">
        <v>3139</v>
      </c>
      <c r="B261" s="1200"/>
      <c r="C261" s="1200" t="s">
        <v>4179</v>
      </c>
      <c r="D261" s="1481" t="s">
        <v>4171</v>
      </c>
      <c r="E261" s="1482"/>
      <c r="F261" s="1483"/>
      <c r="G261" s="1201" t="s">
        <v>4174</v>
      </c>
      <c r="H261" s="1201"/>
      <c r="I261" s="1201" t="s">
        <v>4175</v>
      </c>
      <c r="J261" s="1201" t="s">
        <v>4176</v>
      </c>
      <c r="K261" s="1201"/>
      <c r="L261" s="1201"/>
      <c r="M261" s="893"/>
      <c r="N261" s="893"/>
      <c r="O261" s="1426" t="s">
        <v>447</v>
      </c>
      <c r="P261" s="1484" t="s">
        <v>3347</v>
      </c>
      <c r="Q261" s="1487" t="s">
        <v>3333</v>
      </c>
      <c r="R261" s="1487"/>
      <c r="S261" s="1487"/>
      <c r="T261" s="1487"/>
      <c r="U261" s="1487"/>
      <c r="V261" s="1487"/>
      <c r="W261" s="1487" t="s">
        <v>3333</v>
      </c>
      <c r="X261" s="1487"/>
      <c r="Y261" s="1487"/>
      <c r="Z261" s="1487"/>
      <c r="AA261" s="1487"/>
      <c r="AB261" s="1487"/>
      <c r="AC261" s="1487"/>
    </row>
    <row r="262" spans="1:31" ht="57.6" customHeight="1" x14ac:dyDescent="0.25">
      <c r="A262" s="1200"/>
      <c r="B262" s="1200"/>
      <c r="C262" s="1200"/>
      <c r="D262" s="908" t="s">
        <v>4178</v>
      </c>
      <c r="E262" s="908" t="s">
        <v>4173</v>
      </c>
      <c r="F262" s="908" t="s">
        <v>4172</v>
      </c>
      <c r="G262" s="909" t="s">
        <v>1</v>
      </c>
      <c r="H262" s="909" t="s">
        <v>4174</v>
      </c>
      <c r="I262" s="1201"/>
      <c r="J262" s="909" t="s">
        <v>4178</v>
      </c>
      <c r="K262" s="909" t="s">
        <v>4173</v>
      </c>
      <c r="L262" s="909" t="s">
        <v>4177</v>
      </c>
      <c r="M262" s="909" t="s">
        <v>460</v>
      </c>
      <c r="N262" s="909" t="s">
        <v>462</v>
      </c>
      <c r="O262" s="1426"/>
      <c r="P262" s="1484"/>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194" t="s">
        <v>4278</v>
      </c>
      <c r="B264" s="1194"/>
      <c r="C264" s="1194"/>
      <c r="D264" s="1194"/>
      <c r="E264" s="1194"/>
      <c r="F264" s="1194"/>
      <c r="G264" s="1194"/>
      <c r="H264" s="1194"/>
      <c r="I264" s="1194"/>
      <c r="J264" s="1194"/>
      <c r="K264" s="1194"/>
      <c r="L264" s="1194"/>
      <c r="M264" s="1194"/>
      <c r="N264" s="1194"/>
      <c r="O264" s="1194"/>
      <c r="P264" s="1194"/>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194" t="s">
        <v>4279</v>
      </c>
      <c r="B265" s="1194"/>
      <c r="C265" s="1194"/>
      <c r="D265" s="1194"/>
      <c r="E265" s="1194"/>
      <c r="F265" s="1194"/>
      <c r="G265" s="1194"/>
      <c r="H265" s="1194"/>
      <c r="I265" s="1194"/>
      <c r="J265" s="1194"/>
      <c r="K265" s="1194"/>
      <c r="L265" s="1194"/>
      <c r="M265" s="1194"/>
      <c r="N265" s="1194"/>
      <c r="O265" s="1194"/>
      <c r="P265" s="1194"/>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200" t="s">
        <v>3139</v>
      </c>
      <c r="B268" s="1200"/>
      <c r="C268" s="1200" t="s">
        <v>4179</v>
      </c>
      <c r="D268" s="1481" t="s">
        <v>4171</v>
      </c>
      <c r="E268" s="1482"/>
      <c r="F268" s="1483"/>
      <c r="G268" s="1201" t="s">
        <v>4174</v>
      </c>
      <c r="H268" s="1201"/>
      <c r="I268" s="1201" t="s">
        <v>4175</v>
      </c>
      <c r="J268" s="1201" t="s">
        <v>4176</v>
      </c>
      <c r="K268" s="1201"/>
      <c r="L268" s="1201"/>
      <c r="M268" s="893"/>
      <c r="N268" s="893"/>
      <c r="O268" s="1426" t="s">
        <v>447</v>
      </c>
      <c r="P268" s="1484" t="s">
        <v>3347</v>
      </c>
      <c r="Q268" s="1487" t="s">
        <v>3333</v>
      </c>
      <c r="R268" s="1487"/>
      <c r="S268" s="1487"/>
      <c r="T268" s="1487"/>
      <c r="U268" s="1487"/>
      <c r="V268" s="1487"/>
      <c r="W268" s="1487" t="s">
        <v>3333</v>
      </c>
      <c r="X268" s="1487"/>
      <c r="Y268" s="1487"/>
      <c r="Z268" s="1487"/>
      <c r="AA268" s="1487"/>
      <c r="AB268" s="1487"/>
      <c r="AC268" s="1487"/>
      <c r="AD268" s="236"/>
    </row>
    <row r="269" spans="1:31" ht="52.15" customHeight="1" x14ac:dyDescent="0.25">
      <c r="A269" s="1200"/>
      <c r="B269" s="1200"/>
      <c r="C269" s="1200"/>
      <c r="D269" s="908" t="s">
        <v>4178</v>
      </c>
      <c r="E269" s="908" t="s">
        <v>4173</v>
      </c>
      <c r="F269" s="908" t="s">
        <v>4172</v>
      </c>
      <c r="G269" s="909" t="s">
        <v>1</v>
      </c>
      <c r="H269" s="909" t="s">
        <v>4174</v>
      </c>
      <c r="I269" s="1201"/>
      <c r="J269" s="909" t="s">
        <v>4178</v>
      </c>
      <c r="K269" s="909" t="s">
        <v>4173</v>
      </c>
      <c r="L269" s="909" t="s">
        <v>4177</v>
      </c>
      <c r="M269" s="909" t="s">
        <v>460</v>
      </c>
      <c r="N269" s="909" t="s">
        <v>462</v>
      </c>
      <c r="O269" s="1426"/>
      <c r="P269" s="1484"/>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194" t="s">
        <v>2901</v>
      </c>
      <c r="B270" s="1194" t="str">
        <f>+'PLANINDICATIVO PD MAYO'!I69</f>
        <v xml:space="preserve"> EDUCACIÓN VIRTUAL </v>
      </c>
      <c r="C270" s="1194" t="str">
        <f>+'PLANINDICATIVO PD MAYO'!J69</f>
        <v>ADECUAR Y DOTAR 10 AULAS MULTIMEDIA</v>
      </c>
      <c r="D270" s="1194" t="str">
        <f>+'PLANINDICATIVO PD MAYO'!L69</f>
        <v>NÙMERO DE AULAS ADECUADAS Y DOTADAS</v>
      </c>
      <c r="E270" s="1194"/>
      <c r="F270" s="1194">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194"/>
      <c r="B271" s="1194"/>
      <c r="C271" s="1194"/>
      <c r="D271" s="1194"/>
      <c r="E271" s="1194"/>
      <c r="F271" s="1194"/>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194"/>
      <c r="B272" s="1194"/>
      <c r="C272" s="1194"/>
      <c r="D272" s="1194"/>
      <c r="E272" s="1194"/>
      <c r="F272" s="1194"/>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27" t="str">
        <f>+A273</f>
        <v>PY.7.2.1</v>
      </c>
      <c r="B274" s="1227" t="str">
        <f>+B273</f>
        <v xml:space="preserve"> EDUCACIÓN VIRTUAL </v>
      </c>
      <c r="C274" s="1227" t="str">
        <f>+C273</f>
        <v>ADECUAR Y DOTAR 10 AULAS MULTIMEDIA</v>
      </c>
      <c r="D274" s="1227" t="str">
        <f>+D273</f>
        <v>NÙMERO DE AULAS ADECUADAS Y DOTADAS</v>
      </c>
      <c r="E274" s="1227"/>
      <c r="F274" s="1227">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183"/>
      <c r="B275" s="1183"/>
      <c r="C275" s="1183"/>
      <c r="D275" s="1183"/>
      <c r="E275" s="1183"/>
      <c r="F275" s="1183"/>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183"/>
      <c r="B276" s="1183"/>
      <c r="C276" s="1183"/>
      <c r="D276" s="1183"/>
      <c r="E276" s="1183"/>
      <c r="F276" s="1183"/>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183"/>
      <c r="B277" s="1183"/>
      <c r="C277" s="1183"/>
      <c r="D277" s="1183"/>
      <c r="E277" s="1183"/>
      <c r="F277" s="1183"/>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194" t="s">
        <v>4281</v>
      </c>
      <c r="B278" s="1194"/>
      <c r="C278" s="1194"/>
      <c r="D278" s="1194"/>
      <c r="E278" s="1194"/>
      <c r="F278" s="1194"/>
      <c r="G278" s="1194"/>
      <c r="H278" s="1194"/>
      <c r="I278" s="1194"/>
      <c r="J278" s="1194"/>
      <c r="K278" s="1194"/>
      <c r="L278" s="1194"/>
      <c r="M278" s="1194"/>
      <c r="N278" s="1194"/>
      <c r="O278" s="1194"/>
      <c r="P278" s="1194"/>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194" t="s">
        <v>2894</v>
      </c>
      <c r="B279" s="1194" t="str">
        <f>+'PLANINDICATIVO PD MAYO'!I72</f>
        <v>COMPRA, DESARROLLO, DOTACIÓN Y MANTENIMIENTO DE SOFTWARE Y HARDWARE PARA LA GESTIÓN TECNOLOGICA EN LA USCO</v>
      </c>
      <c r="C279" s="1194" t="str">
        <f>+'PLANINDICATIVO PD MAYO'!J72</f>
        <v>AUMENTAR DE 300 A 500 LOS EQUIPOS DE SISTEMAS Y REDES DISPONIBLES EN AL USCO</v>
      </c>
      <c r="D279" s="1194" t="str">
        <f>+'PLANINDICATIVO PD MAYO'!L72</f>
        <v>NÙMERO DE EQUIPOS DE SISTEMAS Y REDES ADQUIRIDOS Y MANTENIDOS</v>
      </c>
      <c r="E279" s="1194"/>
      <c r="F279" s="1194">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194"/>
      <c r="B280" s="1194"/>
      <c r="C280" s="1194"/>
      <c r="D280" s="1194"/>
      <c r="E280" s="1194"/>
      <c r="F280" s="1194"/>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194"/>
      <c r="B281" s="1194"/>
      <c r="C281" s="1194"/>
      <c r="D281" s="1194"/>
      <c r="E281" s="1194"/>
      <c r="F281" s="1194"/>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194" t="s">
        <v>4282</v>
      </c>
      <c r="B282" s="1194"/>
      <c r="C282" s="1194"/>
      <c r="D282" s="1194"/>
      <c r="E282" s="1194"/>
      <c r="F282" s="1194"/>
      <c r="G282" s="1194"/>
      <c r="H282" s="1194"/>
      <c r="I282" s="1194"/>
      <c r="J282" s="1194"/>
      <c r="K282" s="1194"/>
      <c r="L282" s="1194"/>
      <c r="M282" s="1194"/>
      <c r="N282" s="1194"/>
      <c r="O282" s="1194"/>
      <c r="P282" s="1194"/>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33" t="s">
        <v>4283</v>
      </c>
      <c r="B283" s="1248"/>
      <c r="C283" s="1248"/>
      <c r="D283" s="1248"/>
      <c r="E283" s="1248"/>
      <c r="F283" s="1248"/>
      <c r="G283" s="1248"/>
      <c r="H283" s="1248"/>
      <c r="I283" s="1248"/>
      <c r="J283" s="1248"/>
      <c r="K283" s="1248"/>
      <c r="L283" s="1248"/>
      <c r="M283" s="1248"/>
      <c r="N283" s="1248"/>
      <c r="O283" s="1248"/>
      <c r="P283" s="1266"/>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496" t="s">
        <v>3411</v>
      </c>
      <c r="B284" s="1249"/>
      <c r="C284" s="1249"/>
      <c r="D284" s="1249"/>
      <c r="E284" s="1249"/>
      <c r="F284" s="1249"/>
      <c r="G284" s="1249"/>
      <c r="H284" s="1249"/>
      <c r="I284" s="1249"/>
      <c r="J284" s="1249"/>
      <c r="K284" s="1249"/>
      <c r="L284" s="1249"/>
      <c r="M284" s="1249"/>
      <c r="N284" s="1249"/>
      <c r="O284" s="1249"/>
      <c r="P284" s="1250"/>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473"/>
      <c r="B285" s="1473"/>
      <c r="C285" s="1473"/>
      <c r="D285" s="1473"/>
      <c r="E285" s="1473"/>
      <c r="F285" s="1473"/>
      <c r="G285" s="1473"/>
      <c r="H285" s="1473"/>
      <c r="I285" s="1473"/>
      <c r="J285" s="1473"/>
      <c r="K285" s="1473"/>
      <c r="L285" s="1473"/>
      <c r="M285" s="1473"/>
      <c r="N285" s="1473"/>
      <c r="O285" s="1473"/>
      <c r="P285" s="853"/>
      <c r="Q285" s="796"/>
      <c r="R285" s="694"/>
      <c r="S285" s="694"/>
      <c r="T285" s="694"/>
      <c r="U285" s="694"/>
      <c r="V285" s="694"/>
      <c r="W285" s="694"/>
      <c r="X285" s="694"/>
      <c r="Y285" s="694"/>
      <c r="Z285" s="694"/>
      <c r="AA285" s="694"/>
      <c r="AB285" s="694"/>
      <c r="AC285" s="694"/>
    </row>
    <row r="286" spans="1:31" ht="21" customHeight="1" x14ac:dyDescent="0.25">
      <c r="A286" s="1194" t="s">
        <v>622</v>
      </c>
      <c r="B286" s="1194"/>
      <c r="C286" s="1194"/>
      <c r="D286" s="1194"/>
      <c r="E286" s="1194"/>
      <c r="F286" s="1194"/>
      <c r="G286" s="1194"/>
      <c r="H286" s="1194"/>
      <c r="I286" s="1194"/>
      <c r="J286" s="1194"/>
      <c r="K286" s="1194"/>
      <c r="L286" s="1194"/>
      <c r="M286" s="1194"/>
      <c r="N286" s="1194"/>
      <c r="O286" s="1194"/>
      <c r="P286" s="1194"/>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194" t="s">
        <v>3302</v>
      </c>
      <c r="B288" s="1194"/>
      <c r="C288" s="1194"/>
      <c r="D288" s="1194"/>
      <c r="E288" s="1194"/>
      <c r="F288" s="1194"/>
      <c r="G288" s="1194"/>
      <c r="H288" s="1194"/>
      <c r="I288" s="1194"/>
      <c r="J288" s="1194"/>
      <c r="K288" s="1194"/>
      <c r="L288" s="1194"/>
      <c r="M288" s="1194"/>
      <c r="N288" s="1194"/>
      <c r="O288" s="1194"/>
      <c r="P288" s="1194"/>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194" t="s">
        <v>3303</v>
      </c>
      <c r="B289" s="1194"/>
      <c r="C289" s="1194"/>
      <c r="D289" s="1194"/>
      <c r="E289" s="1194"/>
      <c r="F289" s="1194"/>
      <c r="G289" s="1194"/>
      <c r="H289" s="1194"/>
      <c r="I289" s="1194"/>
      <c r="J289" s="1194"/>
      <c r="K289" s="1194"/>
      <c r="L289" s="1194"/>
      <c r="M289" s="1194"/>
      <c r="N289" s="1194"/>
      <c r="O289" s="1194"/>
      <c r="P289" s="1194"/>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194" t="s">
        <v>3304</v>
      </c>
      <c r="B290" s="1194"/>
      <c r="C290" s="1194"/>
      <c r="D290" s="1194"/>
      <c r="E290" s="1194"/>
      <c r="F290" s="1194"/>
      <c r="G290" s="1194"/>
      <c r="H290" s="1194"/>
      <c r="I290" s="1194"/>
      <c r="J290" s="1194"/>
      <c r="K290" s="1194"/>
      <c r="L290" s="1194"/>
      <c r="M290" s="1194"/>
      <c r="N290" s="1194"/>
      <c r="O290" s="1194"/>
      <c r="P290" s="1194"/>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194" t="s">
        <v>443</v>
      </c>
      <c r="B291" s="1194"/>
      <c r="C291" s="1194"/>
      <c r="D291" s="1194"/>
      <c r="E291" s="1194"/>
      <c r="F291" s="1194"/>
      <c r="G291" s="1194"/>
      <c r="H291" s="1194"/>
      <c r="I291" s="1194"/>
      <c r="J291" s="1194"/>
      <c r="K291" s="1194"/>
      <c r="L291" s="1194"/>
      <c r="M291" s="1194"/>
      <c r="N291" s="1194"/>
      <c r="O291" s="1194"/>
      <c r="P291" s="1194"/>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194" t="s">
        <v>3305</v>
      </c>
      <c r="B292" s="1194"/>
      <c r="C292" s="1194"/>
      <c r="D292" s="1194"/>
      <c r="E292" s="1194"/>
      <c r="F292" s="1194"/>
      <c r="G292" s="1194"/>
      <c r="H292" s="1194"/>
      <c r="I292" s="1194"/>
      <c r="J292" s="1194"/>
      <c r="K292" s="1194"/>
      <c r="L292" s="1194"/>
      <c r="M292" s="1194"/>
      <c r="N292" s="1194"/>
      <c r="O292" s="1194"/>
      <c r="P292" s="1194"/>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194" t="s">
        <v>3306</v>
      </c>
      <c r="B293" s="1194"/>
      <c r="C293" s="1194"/>
      <c r="D293" s="1194"/>
      <c r="E293" s="1194"/>
      <c r="F293" s="1194"/>
      <c r="G293" s="1194"/>
      <c r="H293" s="1194"/>
      <c r="I293" s="1194"/>
      <c r="J293" s="1194"/>
      <c r="K293" s="1194"/>
      <c r="L293" s="1194"/>
      <c r="M293" s="1194"/>
      <c r="N293" s="1194"/>
      <c r="O293" s="1194"/>
      <c r="P293" s="1194"/>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194" t="s">
        <v>3308</v>
      </c>
      <c r="B294" s="1194"/>
      <c r="C294" s="1194"/>
      <c r="D294" s="1194"/>
      <c r="E294" s="1194"/>
      <c r="F294" s="1194"/>
      <c r="G294" s="1194"/>
      <c r="H294" s="1194"/>
      <c r="I294" s="1194"/>
      <c r="J294" s="1194"/>
      <c r="K294" s="1194"/>
      <c r="L294" s="1194"/>
      <c r="M294" s="1194"/>
      <c r="N294" s="1194"/>
      <c r="O294" s="1194"/>
      <c r="P294" s="1194"/>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194" t="s">
        <v>3307</v>
      </c>
      <c r="B295" s="1194"/>
      <c r="C295" s="1194"/>
      <c r="D295" s="1194"/>
      <c r="E295" s="1194"/>
      <c r="F295" s="1194"/>
      <c r="G295" s="1194"/>
      <c r="H295" s="1194"/>
      <c r="I295" s="1194"/>
      <c r="J295" s="1194"/>
      <c r="K295" s="1194"/>
      <c r="L295" s="1194"/>
      <c r="M295" s="1194"/>
      <c r="N295" s="1194"/>
      <c r="O295" s="1194"/>
      <c r="P295" s="1194"/>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97" t="s">
        <v>4222</v>
      </c>
      <c r="B296" s="1497"/>
      <c r="C296" s="1497"/>
      <c r="D296" s="1497"/>
      <c r="E296" s="1497"/>
      <c r="F296" s="1497"/>
      <c r="G296" s="1497"/>
      <c r="H296" s="1497"/>
      <c r="I296" s="1497"/>
      <c r="J296" s="1497"/>
      <c r="K296" s="1497"/>
      <c r="L296" s="1497"/>
      <c r="M296" s="1497"/>
      <c r="N296" s="1497"/>
      <c r="O296" s="1497"/>
      <c r="P296" s="1497"/>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477" t="s">
        <v>4118</v>
      </c>
      <c r="I298" s="1477"/>
      <c r="J298" s="1477"/>
      <c r="K298" s="1477"/>
      <c r="L298" s="1477"/>
      <c r="M298" s="1477"/>
      <c r="N298" s="1477"/>
      <c r="O298" s="1477"/>
      <c r="P298" s="1477"/>
      <c r="Q298" s="1" t="e">
        <f>+#REF!</f>
        <v>#REF!</v>
      </c>
    </row>
    <row r="299" spans="1:29" x14ac:dyDescent="0.25">
      <c r="H299" s="1477" t="s">
        <v>4214</v>
      </c>
      <c r="I299" s="1477"/>
      <c r="J299" s="1477"/>
      <c r="K299" s="1477"/>
      <c r="L299" s="1477"/>
      <c r="M299" s="1477"/>
      <c r="N299" s="1477"/>
      <c r="O299" s="1477"/>
      <c r="P299" s="1477"/>
      <c r="Q299" s="1" t="e">
        <f>+Q296-Q298</f>
        <v>#REF!</v>
      </c>
    </row>
  </sheetData>
  <mergeCells count="414">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P144:P145"/>
    <mergeCell ref="D104:F104"/>
    <mergeCell ref="G104:H104"/>
    <mergeCell ref="I104:I105"/>
    <mergeCell ref="J104:L104"/>
    <mergeCell ref="E154:E157"/>
    <mergeCell ref="F106:F108"/>
    <mergeCell ref="O132:O133"/>
    <mergeCell ref="P132:P133"/>
    <mergeCell ref="P106:P108"/>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75" t="s">
        <v>3471</v>
      </c>
      <c r="B1" s="1377" t="s">
        <v>3472</v>
      </c>
      <c r="C1" s="1169" t="s">
        <v>3473</v>
      </c>
      <c r="D1" s="1379" t="s">
        <v>3283</v>
      </c>
      <c r="E1" s="1381" t="s">
        <v>3347</v>
      </c>
      <c r="F1" s="1169" t="s">
        <v>3474</v>
      </c>
      <c r="G1" s="1169" t="s">
        <v>3475</v>
      </c>
      <c r="H1" s="1169" t="s">
        <v>3476</v>
      </c>
      <c r="I1" s="1169" t="s">
        <v>3139</v>
      </c>
      <c r="J1" s="1169" t="s">
        <v>3477</v>
      </c>
      <c r="K1" s="1169" t="s">
        <v>3478</v>
      </c>
      <c r="L1" s="1169" t="s">
        <v>3479</v>
      </c>
      <c r="M1" s="1356" t="s">
        <v>3480</v>
      </c>
      <c r="N1" s="1356"/>
      <c r="O1" s="1356"/>
      <c r="P1" s="1356"/>
      <c r="Q1" s="1356" t="s">
        <v>3481</v>
      </c>
      <c r="R1" s="1356"/>
      <c r="S1" s="1356"/>
      <c r="T1" s="1356"/>
      <c r="U1" s="1357"/>
      <c r="V1" s="1327" t="s">
        <v>3637</v>
      </c>
      <c r="W1" s="1348" t="s">
        <v>4284</v>
      </c>
      <c r="X1" s="1337" t="s">
        <v>3425</v>
      </c>
      <c r="Y1" s="1337"/>
      <c r="Z1" s="1337"/>
      <c r="AA1" s="1337"/>
      <c r="AB1" s="1337"/>
      <c r="AC1" s="1337"/>
      <c r="AD1" s="1337"/>
      <c r="AE1" s="1337"/>
      <c r="AF1" s="1337"/>
      <c r="AG1" s="1337"/>
      <c r="AH1" s="1337"/>
      <c r="AI1" s="1337"/>
      <c r="AJ1" s="1337"/>
      <c r="AK1" s="1327" t="s">
        <v>4289</v>
      </c>
      <c r="AL1" s="1327" t="s">
        <v>4290</v>
      </c>
      <c r="AM1" s="1327" t="s">
        <v>4291</v>
      </c>
      <c r="AN1" s="1327" t="s">
        <v>4292</v>
      </c>
    </row>
    <row r="2" spans="1:40" ht="64.150000000000006" customHeight="1" x14ac:dyDescent="0.2">
      <c r="A2" s="1376"/>
      <c r="B2" s="1378"/>
      <c r="C2" s="1170"/>
      <c r="D2" s="1380"/>
      <c r="E2" s="1382"/>
      <c r="F2" s="1170"/>
      <c r="G2" s="1171"/>
      <c r="H2" s="1170"/>
      <c r="I2" s="1170"/>
      <c r="J2" s="1170"/>
      <c r="K2" s="1171"/>
      <c r="L2" s="1171"/>
      <c r="M2" s="923">
        <v>2009</v>
      </c>
      <c r="N2" s="923">
        <v>2010</v>
      </c>
      <c r="O2" s="923">
        <v>2011</v>
      </c>
      <c r="P2" s="923">
        <v>2012</v>
      </c>
      <c r="Q2" s="923">
        <v>2009</v>
      </c>
      <c r="R2" s="923">
        <v>2010</v>
      </c>
      <c r="S2" s="923">
        <v>2011</v>
      </c>
      <c r="T2" s="923">
        <v>2012</v>
      </c>
      <c r="U2" s="436" t="s">
        <v>695</v>
      </c>
      <c r="V2" s="1327"/>
      <c r="W2" s="1348"/>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27"/>
      <c r="AL2" s="1327"/>
      <c r="AM2" s="1327"/>
      <c r="AN2" s="1327"/>
    </row>
    <row r="3" spans="1:40" ht="90" x14ac:dyDescent="0.2">
      <c r="A3" s="1174">
        <v>1</v>
      </c>
      <c r="B3" s="1336" t="s">
        <v>3080</v>
      </c>
      <c r="C3" s="1177" t="s">
        <v>3482</v>
      </c>
      <c r="D3" s="1336" t="s">
        <v>3704</v>
      </c>
      <c r="E3" s="1333" t="s">
        <v>3483</v>
      </c>
      <c r="F3" s="1180" t="s">
        <v>3484</v>
      </c>
      <c r="G3" s="1180" t="s">
        <v>3485</v>
      </c>
      <c r="H3" s="1180"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75"/>
      <c r="B4" s="1331"/>
      <c r="C4" s="1178"/>
      <c r="D4" s="1331"/>
      <c r="E4" s="1334"/>
      <c r="F4" s="1180"/>
      <c r="G4" s="1180"/>
      <c r="H4" s="1180"/>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75"/>
      <c r="B5" s="1331"/>
      <c r="C5" s="1178"/>
      <c r="D5" s="1331"/>
      <c r="E5" s="1334"/>
      <c r="F5" s="1180"/>
      <c r="G5" s="1180"/>
      <c r="H5" s="1180"/>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75"/>
      <c r="B6" s="1331"/>
      <c r="C6" s="1178"/>
      <c r="D6" s="1331"/>
      <c r="E6" s="1334"/>
      <c r="F6" s="1180"/>
      <c r="G6" s="1180"/>
      <c r="H6" s="1180"/>
      <c r="I6" s="919"/>
      <c r="J6" s="468"/>
      <c r="K6" s="469"/>
      <c r="L6" s="470"/>
      <c r="M6" s="1358" t="s">
        <v>695</v>
      </c>
      <c r="N6" s="1359"/>
      <c r="O6" s="1359"/>
      <c r="P6" s="1360"/>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75">
        <v>2</v>
      </c>
      <c r="B8" s="1331" t="s">
        <v>648</v>
      </c>
      <c r="C8" s="1175" t="s">
        <v>3656</v>
      </c>
      <c r="D8" s="1336" t="s">
        <v>3736</v>
      </c>
      <c r="E8" s="1334" t="s">
        <v>3483</v>
      </c>
      <c r="F8" s="1175" t="s">
        <v>3737</v>
      </c>
      <c r="G8" s="1175" t="s">
        <v>3738</v>
      </c>
      <c r="H8" s="1175"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75"/>
      <c r="B9" s="1331"/>
      <c r="C9" s="1175"/>
      <c r="D9" s="1331"/>
      <c r="E9" s="1334"/>
      <c r="F9" s="1175"/>
      <c r="G9" s="1175"/>
      <c r="H9" s="1175"/>
      <c r="I9" s="1174"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75"/>
      <c r="B10" s="1331"/>
      <c r="C10" s="1175"/>
      <c r="D10" s="1331"/>
      <c r="E10" s="1334"/>
      <c r="F10" s="1175"/>
      <c r="G10" s="1175"/>
      <c r="H10" s="1175"/>
      <c r="I10" s="1175"/>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75"/>
      <c r="B11" s="1331"/>
      <c r="C11" s="1175"/>
      <c r="D11" s="1331"/>
      <c r="E11" s="1334"/>
      <c r="F11" s="1175"/>
      <c r="G11" s="1175"/>
      <c r="H11" s="1175"/>
      <c r="I11" s="1175"/>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75"/>
      <c r="B12" s="1331"/>
      <c r="C12" s="1175"/>
      <c r="D12" s="1331"/>
      <c r="E12" s="1334"/>
      <c r="F12" s="1175"/>
      <c r="G12" s="1175"/>
      <c r="H12" s="1175"/>
      <c r="I12" s="1176"/>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76"/>
      <c r="B13" s="1332"/>
      <c r="C13" s="1176"/>
      <c r="D13" s="1332"/>
      <c r="E13" s="1335"/>
      <c r="F13" s="1176"/>
      <c r="G13" s="1176"/>
      <c r="H13" s="917"/>
      <c r="I13" s="917"/>
      <c r="J13" s="919"/>
      <c r="K13" s="919"/>
      <c r="L13" s="919"/>
      <c r="M13" s="1384"/>
      <c r="N13" s="1385"/>
      <c r="O13" s="1385"/>
      <c r="P13" s="1386"/>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80">
        <v>3</v>
      </c>
      <c r="B15" s="1329" t="s">
        <v>3162</v>
      </c>
      <c r="C15" s="1174" t="s">
        <v>3493</v>
      </c>
      <c r="D15" s="1329" t="s">
        <v>3494</v>
      </c>
      <c r="E15" s="1333" t="s">
        <v>3495</v>
      </c>
      <c r="F15" s="1180" t="s">
        <v>3484</v>
      </c>
      <c r="G15" s="1174" t="s">
        <v>3485</v>
      </c>
      <c r="H15" s="1180" t="s">
        <v>3486</v>
      </c>
      <c r="I15" s="1174"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80"/>
      <c r="B16" s="1329"/>
      <c r="C16" s="1175"/>
      <c r="D16" s="1329"/>
      <c r="E16" s="1334"/>
      <c r="F16" s="1180"/>
      <c r="G16" s="1175"/>
      <c r="H16" s="1180"/>
      <c r="I16" s="1176"/>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80"/>
      <c r="B17" s="1329"/>
      <c r="C17" s="1175"/>
      <c r="D17" s="1329"/>
      <c r="E17" s="1334"/>
      <c r="F17" s="1180"/>
      <c r="G17" s="1175"/>
      <c r="H17" s="1180"/>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80"/>
      <c r="B18" s="1329"/>
      <c r="C18" s="1176"/>
      <c r="D18" s="1329"/>
      <c r="E18" s="1335"/>
      <c r="F18" s="1180"/>
      <c r="G18" s="1176"/>
      <c r="H18" s="1180"/>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29">
        <v>3</v>
      </c>
      <c r="B19" s="1329" t="s">
        <v>3162</v>
      </c>
      <c r="C19" s="1180" t="s">
        <v>3493</v>
      </c>
      <c r="D19" s="1329" t="s">
        <v>3184</v>
      </c>
      <c r="E19" s="1345" t="s">
        <v>3495</v>
      </c>
      <c r="F19" s="1180" t="s">
        <v>3499</v>
      </c>
      <c r="G19" s="1180" t="s">
        <v>3500</v>
      </c>
      <c r="H19" s="1180"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29"/>
      <c r="B20" s="1329"/>
      <c r="C20" s="1180"/>
      <c r="D20" s="1329"/>
      <c r="E20" s="1345"/>
      <c r="F20" s="1180"/>
      <c r="G20" s="1180"/>
      <c r="H20" s="1180"/>
      <c r="I20" s="1180"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29"/>
      <c r="B21" s="1329"/>
      <c r="C21" s="1180"/>
      <c r="D21" s="1329"/>
      <c r="E21" s="1345"/>
      <c r="F21" s="1180"/>
      <c r="G21" s="1180"/>
      <c r="H21" s="1180"/>
      <c r="I21" s="1180"/>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29"/>
      <c r="B22" s="1329"/>
      <c r="C22" s="1180"/>
      <c r="D22" s="1329"/>
      <c r="E22" s="1345"/>
      <c r="F22" s="1180"/>
      <c r="G22" s="1180"/>
      <c r="H22" s="1180"/>
      <c r="I22" s="1180"/>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29"/>
      <c r="B23" s="1329"/>
      <c r="C23" s="1180"/>
      <c r="D23" s="1329"/>
      <c r="E23" s="1345"/>
      <c r="F23" s="1180"/>
      <c r="G23" s="1180"/>
      <c r="H23" s="1180"/>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29"/>
      <c r="B24" s="1329"/>
      <c r="C24" s="1180"/>
      <c r="D24" s="1329"/>
      <c r="E24" s="1345"/>
      <c r="F24" s="1180"/>
      <c r="G24" s="1180"/>
      <c r="H24" s="1180"/>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80">
        <v>3</v>
      </c>
      <c r="B25" s="1329" t="s">
        <v>3162</v>
      </c>
      <c r="C25" s="1180" t="s">
        <v>3493</v>
      </c>
      <c r="D25" s="1329" t="s">
        <v>3707</v>
      </c>
      <c r="E25" s="1345" t="s">
        <v>3503</v>
      </c>
      <c r="F25" s="1180" t="s">
        <v>3499</v>
      </c>
      <c r="G25" s="1180" t="s">
        <v>3500</v>
      </c>
      <c r="H25" s="1180"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80"/>
      <c r="B26" s="1330"/>
      <c r="C26" s="1180"/>
      <c r="D26" s="1329"/>
      <c r="E26" s="1345"/>
      <c r="F26" s="1180"/>
      <c r="G26" s="1180"/>
      <c r="H26" s="1180"/>
      <c r="I26" s="1174"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80"/>
      <c r="B27" s="1330"/>
      <c r="C27" s="1180"/>
      <c r="D27" s="1329"/>
      <c r="E27" s="1345"/>
      <c r="F27" s="1180"/>
      <c r="G27" s="1180"/>
      <c r="H27" s="1180"/>
      <c r="I27" s="1175"/>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80"/>
      <c r="B28" s="1330"/>
      <c r="C28" s="1180"/>
      <c r="D28" s="1329"/>
      <c r="E28" s="1345"/>
      <c r="F28" s="1180"/>
      <c r="G28" s="1180"/>
      <c r="H28" s="1180"/>
      <c r="I28" s="1176"/>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80"/>
      <c r="B29" s="1330"/>
      <c r="C29" s="1180"/>
      <c r="D29" s="1329"/>
      <c r="E29" s="1345"/>
      <c r="F29" s="1180"/>
      <c r="G29" s="1180"/>
      <c r="H29" s="1180"/>
      <c r="I29" s="1174"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80"/>
      <c r="B30" s="1330"/>
      <c r="C30" s="1180"/>
      <c r="D30" s="1329"/>
      <c r="E30" s="1345"/>
      <c r="F30" s="1180"/>
      <c r="G30" s="1180"/>
      <c r="H30" s="1180"/>
      <c r="I30" s="1176"/>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80"/>
      <c r="B31" s="1330"/>
      <c r="C31" s="1180"/>
      <c r="D31" s="1329"/>
      <c r="E31" s="1345"/>
      <c r="F31" s="1180"/>
      <c r="G31" s="1180"/>
      <c r="H31" s="1180"/>
      <c r="I31" s="1174"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80"/>
      <c r="B32" s="1330"/>
      <c r="C32" s="1180"/>
      <c r="D32" s="1329"/>
      <c r="E32" s="1345"/>
      <c r="F32" s="1180"/>
      <c r="G32" s="1180"/>
      <c r="H32" s="1180"/>
      <c r="I32" s="1176"/>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80"/>
      <c r="B33" s="1330"/>
      <c r="C33" s="1180"/>
      <c r="D33" s="1329"/>
      <c r="E33" s="1345"/>
      <c r="F33" s="1180"/>
      <c r="G33" s="1180"/>
      <c r="H33" s="1180"/>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80"/>
      <c r="B34" s="1330"/>
      <c r="C34" s="1180"/>
      <c r="D34" s="1329"/>
      <c r="E34" s="1345"/>
      <c r="F34" s="1180"/>
      <c r="G34" s="1180"/>
      <c r="H34" s="1180"/>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80"/>
      <c r="B35" s="1330"/>
      <c r="C35" s="1180"/>
      <c r="D35" s="1329"/>
      <c r="E35" s="1345"/>
      <c r="F35" s="1180"/>
      <c r="G35" s="1180"/>
      <c r="H35" s="1180"/>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74">
        <v>3</v>
      </c>
      <c r="B36" s="1336" t="s">
        <v>3162</v>
      </c>
      <c r="C36" s="1174" t="s">
        <v>3493</v>
      </c>
      <c r="D36" s="1331" t="s">
        <v>3182</v>
      </c>
      <c r="E36" s="1369" t="s">
        <v>3503</v>
      </c>
      <c r="F36" s="1371" t="s">
        <v>3499</v>
      </c>
      <c r="G36" s="1174" t="s">
        <v>3500</v>
      </c>
      <c r="H36" s="1174"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76"/>
      <c r="B37" s="1332"/>
      <c r="C37" s="1176"/>
      <c r="D37" s="1332"/>
      <c r="E37" s="1370"/>
      <c r="F37" s="1372"/>
      <c r="G37" s="1176"/>
      <c r="H37" s="1176"/>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58" t="s">
        <v>695</v>
      </c>
      <c r="N38" s="1359"/>
      <c r="O38" s="1359"/>
      <c r="P38" s="1360"/>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38">
        <v>4</v>
      </c>
      <c r="B40" s="1340" t="s">
        <v>3526</v>
      </c>
      <c r="C40" s="1174" t="s">
        <v>3527</v>
      </c>
      <c r="D40" s="1329" t="s">
        <v>3528</v>
      </c>
      <c r="E40" s="1342" t="s">
        <v>3529</v>
      </c>
      <c r="F40" s="1180" t="s">
        <v>3530</v>
      </c>
      <c r="G40" s="1174" t="s">
        <v>446</v>
      </c>
      <c r="H40" s="1180"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39"/>
      <c r="B41" s="1341"/>
      <c r="C41" s="1175"/>
      <c r="D41" s="1329"/>
      <c r="E41" s="1343"/>
      <c r="F41" s="1180"/>
      <c r="G41" s="1175"/>
      <c r="H41" s="1180"/>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39"/>
      <c r="B42" s="1341"/>
      <c r="C42" s="1175"/>
      <c r="D42" s="1336" t="s">
        <v>3537</v>
      </c>
      <c r="E42" s="1333" t="s">
        <v>3538</v>
      </c>
      <c r="F42" s="1174" t="s">
        <v>3504</v>
      </c>
      <c r="G42" s="1174">
        <v>0</v>
      </c>
      <c r="H42" s="1174"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39"/>
      <c r="B43" s="1341"/>
      <c r="C43" s="1175"/>
      <c r="D43" s="1331"/>
      <c r="E43" s="1334"/>
      <c r="F43" s="1175"/>
      <c r="G43" s="1175"/>
      <c r="H43" s="1175"/>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39"/>
      <c r="B44" s="1341"/>
      <c r="C44" s="1175"/>
      <c r="D44" s="1331"/>
      <c r="E44" s="1334"/>
      <c r="F44" s="1175"/>
      <c r="G44" s="1175"/>
      <c r="H44" s="1175"/>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39"/>
      <c r="B45" s="1341"/>
      <c r="C45" s="1175"/>
      <c r="D45" s="1331"/>
      <c r="E45" s="1334"/>
      <c r="F45" s="1175"/>
      <c r="G45" s="1175"/>
      <c r="H45" s="1175"/>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38"/>
      <c r="B46" s="1437"/>
      <c r="C46" s="1176"/>
      <c r="D46" s="1332"/>
      <c r="E46" s="1335"/>
      <c r="F46" s="1176"/>
      <c r="G46" s="1176"/>
      <c r="H46" s="1176"/>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58" t="s">
        <v>695</v>
      </c>
      <c r="N47" s="1359"/>
      <c r="O47" s="1359"/>
      <c r="P47" s="1360"/>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74">
        <v>5</v>
      </c>
      <c r="B49" s="1336" t="s">
        <v>3112</v>
      </c>
      <c r="C49" s="1177" t="s">
        <v>3558</v>
      </c>
      <c r="D49" s="1336" t="s">
        <v>3559</v>
      </c>
      <c r="E49" s="1333" t="s">
        <v>3483</v>
      </c>
      <c r="F49" s="1180" t="s">
        <v>3484</v>
      </c>
      <c r="G49" s="1180">
        <v>0</v>
      </c>
      <c r="H49" s="1180"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75"/>
      <c r="B50" s="1331"/>
      <c r="C50" s="1178"/>
      <c r="D50" s="1331"/>
      <c r="E50" s="1334"/>
      <c r="F50" s="1180"/>
      <c r="G50" s="1180"/>
      <c r="H50" s="1180"/>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76"/>
      <c r="B51" s="1332"/>
      <c r="C51" s="1179"/>
      <c r="D51" s="1332"/>
      <c r="E51" s="1335"/>
      <c r="F51" s="1180"/>
      <c r="G51" s="1180"/>
      <c r="H51" s="1180"/>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58" t="s">
        <v>695</v>
      </c>
      <c r="N52" s="1359"/>
      <c r="O52" s="1359"/>
      <c r="P52" s="1360"/>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74">
        <v>6</v>
      </c>
      <c r="B54" s="1336" t="s">
        <v>3569</v>
      </c>
      <c r="C54" s="1174" t="s">
        <v>3570</v>
      </c>
      <c r="D54" s="1329" t="s">
        <v>3571</v>
      </c>
      <c r="E54" s="1373" t="s">
        <v>3572</v>
      </c>
      <c r="F54" s="1180" t="s">
        <v>3484</v>
      </c>
      <c r="G54" s="1180" t="s">
        <v>3573</v>
      </c>
      <c r="H54" s="1180"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75"/>
      <c r="B55" s="1331"/>
      <c r="C55" s="1175"/>
      <c r="D55" s="1329"/>
      <c r="E55" s="1374"/>
      <c r="F55" s="1180"/>
      <c r="G55" s="1180"/>
      <c r="H55" s="1180"/>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75"/>
      <c r="B56" s="1331"/>
      <c r="C56" s="1175"/>
      <c r="D56" s="1336" t="s">
        <v>434</v>
      </c>
      <c r="E56" s="1333" t="s">
        <v>3577</v>
      </c>
      <c r="F56" s="1174" t="s">
        <v>3578</v>
      </c>
      <c r="G56" s="1174" t="s">
        <v>3579</v>
      </c>
      <c r="H56" s="1174" t="s">
        <v>3580</v>
      </c>
      <c r="I56" s="1180"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75"/>
      <c r="B57" s="1331"/>
      <c r="C57" s="1175"/>
      <c r="D57" s="1331"/>
      <c r="E57" s="1334"/>
      <c r="F57" s="1175"/>
      <c r="G57" s="1175"/>
      <c r="H57" s="1175"/>
      <c r="I57" s="1180"/>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75"/>
      <c r="B58" s="1331"/>
      <c r="C58" s="1175"/>
      <c r="D58" s="1331"/>
      <c r="E58" s="1334"/>
      <c r="F58" s="1175"/>
      <c r="G58" s="1175"/>
      <c r="H58" s="1175"/>
      <c r="I58" s="1180"/>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75"/>
      <c r="B59" s="1331"/>
      <c r="C59" s="1175"/>
      <c r="D59" s="1331"/>
      <c r="E59" s="1334"/>
      <c r="F59" s="1175"/>
      <c r="G59" s="1175"/>
      <c r="H59" s="1175"/>
      <c r="I59" s="1180"/>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75"/>
      <c r="B60" s="1331"/>
      <c r="C60" s="1175"/>
      <c r="D60" s="1331"/>
      <c r="E60" s="1334"/>
      <c r="F60" s="1175"/>
      <c r="G60" s="1175"/>
      <c r="H60" s="1175"/>
      <c r="I60" s="1180"/>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75"/>
      <c r="B61" s="1331"/>
      <c r="C61" s="1175"/>
      <c r="D61" s="1331"/>
      <c r="E61" s="1334"/>
      <c r="F61" s="1175"/>
      <c r="G61" s="1175"/>
      <c r="H61" s="1175"/>
      <c r="I61" s="1180"/>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80">
        <v>6</v>
      </c>
      <c r="B63" s="1344" t="s">
        <v>3569</v>
      </c>
      <c r="C63" s="1180" t="s">
        <v>3570</v>
      </c>
      <c r="D63" s="1329" t="s">
        <v>434</v>
      </c>
      <c r="E63" s="1439" t="s">
        <v>3577</v>
      </c>
      <c r="F63" s="1180" t="s">
        <v>3578</v>
      </c>
      <c r="G63" s="1180" t="s">
        <v>3579</v>
      </c>
      <c r="H63" s="1180" t="s">
        <v>3580</v>
      </c>
      <c r="I63" s="1180"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80"/>
      <c r="B64" s="1344"/>
      <c r="C64" s="1180"/>
      <c r="D64" s="1329"/>
      <c r="E64" s="1439"/>
      <c r="F64" s="1180"/>
      <c r="G64" s="1180"/>
      <c r="H64" s="1180"/>
      <c r="I64" s="1180"/>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58" t="s">
        <v>695</v>
      </c>
      <c r="N65" s="1359"/>
      <c r="O65" s="1359"/>
      <c r="P65" s="1360"/>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80">
        <v>7</v>
      </c>
      <c r="B67" s="1329" t="s">
        <v>3598</v>
      </c>
      <c r="C67" s="1180" t="s">
        <v>3599</v>
      </c>
      <c r="D67" s="1329" t="s">
        <v>3600</v>
      </c>
      <c r="E67" s="1342" t="s">
        <v>3577</v>
      </c>
      <c r="F67" s="1180" t="s">
        <v>3674</v>
      </c>
      <c r="G67" s="1180" t="s">
        <v>3675</v>
      </c>
      <c r="H67" s="1180" t="s">
        <v>3676</v>
      </c>
      <c r="I67" s="1174"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80"/>
      <c r="B68" s="1329"/>
      <c r="C68" s="1180"/>
      <c r="D68" s="1329"/>
      <c r="E68" s="1343"/>
      <c r="F68" s="1180"/>
      <c r="G68" s="1180"/>
      <c r="H68" s="1180"/>
      <c r="I68" s="1176"/>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80"/>
      <c r="B69" s="1329"/>
      <c r="C69" s="1180"/>
      <c r="D69" s="1344" t="s">
        <v>3605</v>
      </c>
      <c r="E69" s="1333" t="s">
        <v>3667</v>
      </c>
      <c r="F69" s="1180" t="s">
        <v>3698</v>
      </c>
      <c r="G69" s="1180" t="s">
        <v>3677</v>
      </c>
      <c r="H69" s="1180" t="s">
        <v>3678</v>
      </c>
      <c r="I69" s="1174"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80"/>
      <c r="B70" s="1329"/>
      <c r="C70" s="1180"/>
      <c r="D70" s="1344"/>
      <c r="E70" s="1334"/>
      <c r="F70" s="1180"/>
      <c r="G70" s="1180"/>
      <c r="H70" s="1180"/>
      <c r="I70" s="1175"/>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80"/>
      <c r="B71" s="1329"/>
      <c r="C71" s="1180"/>
      <c r="D71" s="1344"/>
      <c r="E71" s="1334"/>
      <c r="F71" s="1180"/>
      <c r="G71" s="1180"/>
      <c r="H71" s="1180"/>
      <c r="I71" s="1176"/>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80"/>
      <c r="B72" s="1329"/>
      <c r="C72" s="1180"/>
      <c r="D72" s="1344"/>
      <c r="E72" s="1334"/>
      <c r="F72" s="1180"/>
      <c r="G72" s="1180"/>
      <c r="H72" s="1180"/>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58" t="s">
        <v>695</v>
      </c>
      <c r="N73" s="1359"/>
      <c r="O73" s="1359"/>
      <c r="P73" s="1360"/>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40"/>
      <c r="N74" s="1440"/>
      <c r="O74" s="1440"/>
      <c r="P74" s="1440"/>
      <c r="Q74" s="1440"/>
      <c r="R74" s="1440"/>
      <c r="S74" s="1440"/>
      <c r="T74" s="1440"/>
      <c r="U74" s="1440"/>
      <c r="V74" s="1440"/>
      <c r="W74" s="442"/>
      <c r="AK74" s="442"/>
      <c r="AL74" s="442"/>
      <c r="AM74" s="442"/>
      <c r="AN74" s="442"/>
    </row>
    <row r="75" spans="1:40" ht="17.25" customHeight="1" x14ac:dyDescent="0.2">
      <c r="A75" s="419"/>
      <c r="B75" s="419"/>
      <c r="C75" s="419"/>
      <c r="D75" s="419"/>
      <c r="E75" s="419"/>
      <c r="F75" s="419"/>
      <c r="G75" s="419"/>
      <c r="H75" s="419"/>
      <c r="I75" s="419"/>
      <c r="J75" s="419"/>
      <c r="K75" s="419"/>
      <c r="L75" s="419"/>
      <c r="M75" s="1362" t="s">
        <v>695</v>
      </c>
      <c r="N75" s="1363"/>
      <c r="O75" s="1363"/>
      <c r="P75" s="1364"/>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15:A18"/>
    <mergeCell ref="B15:B18"/>
    <mergeCell ref="C15:C18"/>
    <mergeCell ref="D15:D18"/>
    <mergeCell ref="E15:E18"/>
    <mergeCell ref="F15:F18"/>
    <mergeCell ref="G15:G18"/>
    <mergeCell ref="H15:H18"/>
    <mergeCell ref="I15:I16"/>
    <mergeCell ref="A19:A24"/>
    <mergeCell ref="B19:B24"/>
    <mergeCell ref="C19:C24"/>
    <mergeCell ref="D19:D24"/>
    <mergeCell ref="E19:E24"/>
    <mergeCell ref="F19:F24"/>
    <mergeCell ref="G19:G24"/>
    <mergeCell ref="H19:H24"/>
    <mergeCell ref="I20:I22"/>
    <mergeCell ref="A25:A35"/>
    <mergeCell ref="B25:B35"/>
    <mergeCell ref="C25:C35"/>
    <mergeCell ref="D25:D35"/>
    <mergeCell ref="E25:E35"/>
    <mergeCell ref="F25:F35"/>
    <mergeCell ref="G25:G35"/>
    <mergeCell ref="H25:H35"/>
    <mergeCell ref="I26:I28"/>
    <mergeCell ref="I29:I30"/>
    <mergeCell ref="I31:I32"/>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49:A51"/>
    <mergeCell ref="B49:B51"/>
    <mergeCell ref="C49:C51"/>
    <mergeCell ref="D49:D51"/>
    <mergeCell ref="E49:E51"/>
    <mergeCell ref="F49:F51"/>
    <mergeCell ref="D42:D46"/>
    <mergeCell ref="E42:E46"/>
    <mergeCell ref="F42:F46"/>
    <mergeCell ref="E56:E61"/>
    <mergeCell ref="F56:F61"/>
    <mergeCell ref="G56:G61"/>
    <mergeCell ref="H56:H61"/>
    <mergeCell ref="G49:G51"/>
    <mergeCell ref="H49:H51"/>
    <mergeCell ref="M52:P52"/>
    <mergeCell ref="D54:D55"/>
    <mergeCell ref="E54:E55"/>
    <mergeCell ref="F54:F55"/>
    <mergeCell ref="G54:G55"/>
    <mergeCell ref="I56:I6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M73:P73"/>
    <mergeCell ref="M74:V74"/>
    <mergeCell ref="M75:P75"/>
    <mergeCell ref="D69:D72"/>
    <mergeCell ref="E69:E72"/>
    <mergeCell ref="F69:F72"/>
    <mergeCell ref="G69:G72"/>
    <mergeCell ref="H69:H72"/>
    <mergeCell ref="I69:I71"/>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500" t="s">
        <v>695</v>
      </c>
      <c r="B19" s="1501"/>
      <c r="C19" s="1501"/>
      <c r="D19" s="1501"/>
      <c r="E19" s="1501"/>
      <c r="F19" s="1502"/>
      <c r="G19" s="99">
        <f>SUM(G6:G18)</f>
        <v>5602000000</v>
      </c>
      <c r="H19" s="1503"/>
      <c r="I19" s="1504"/>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500" t="s">
        <v>695</v>
      </c>
      <c r="B1306" s="1501"/>
      <c r="C1306" s="1501"/>
      <c r="D1306" s="1501"/>
      <c r="E1306" s="1501"/>
      <c r="F1306" s="1502"/>
      <c r="G1306" s="44" t="s">
        <v>677</v>
      </c>
      <c r="H1306" s="1503"/>
      <c r="I1306" s="1504"/>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500" t="s">
        <v>695</v>
      </c>
      <c r="B170" s="1501"/>
      <c r="C170" s="1501"/>
      <c r="D170" s="1501"/>
      <c r="E170" s="1501"/>
      <c r="F170" s="1502"/>
      <c r="G170" s="44" t="s">
        <v>679</v>
      </c>
      <c r="H170" s="1503"/>
      <c r="I170" s="1504"/>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500" t="s">
        <v>695</v>
      </c>
      <c r="B76" s="1501"/>
      <c r="C76" s="1501"/>
      <c r="D76" s="1501"/>
      <c r="E76" s="1501"/>
      <c r="F76" s="1502"/>
      <c r="G76" s="99">
        <v>2249774422</v>
      </c>
      <c r="H76" s="1503"/>
      <c r="I76" s="1504"/>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500" t="s">
        <v>695</v>
      </c>
      <c r="B85" s="1501"/>
      <c r="C85" s="1501"/>
      <c r="D85" s="1501"/>
      <c r="E85" s="1501"/>
      <c r="F85" s="1502"/>
      <c r="G85" s="44" t="s">
        <v>682</v>
      </c>
      <c r="H85" s="1503"/>
      <c r="I85" s="1504"/>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44" t="s">
        <v>432</v>
      </c>
      <c r="B13" s="1145"/>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500" t="s">
        <v>695</v>
      </c>
      <c r="B90" s="1501"/>
      <c r="C90" s="1501"/>
      <c r="D90" s="1501"/>
      <c r="E90" s="1501"/>
      <c r="F90" s="1502"/>
      <c r="G90" s="44" t="s">
        <v>684</v>
      </c>
      <c r="H90" s="1503"/>
      <c r="I90" s="1504"/>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505" t="s">
        <v>0</v>
      </c>
      <c r="B3" s="1505" t="s">
        <v>449</v>
      </c>
      <c r="C3" s="1505" t="s">
        <v>450</v>
      </c>
      <c r="D3" s="1505" t="s">
        <v>451</v>
      </c>
      <c r="E3" s="1505" t="s">
        <v>452</v>
      </c>
      <c r="F3" s="1505" t="s">
        <v>453</v>
      </c>
      <c r="G3" s="1505" t="s">
        <v>454</v>
      </c>
      <c r="H3" s="1505" t="s">
        <v>455</v>
      </c>
      <c r="I3" s="1507" t="s">
        <v>456</v>
      </c>
      <c r="J3" s="1509" t="s">
        <v>457</v>
      </c>
      <c r="K3" s="1509"/>
      <c r="L3" s="1509"/>
      <c r="M3" s="1509"/>
      <c r="N3" s="1509" t="s">
        <v>461</v>
      </c>
      <c r="O3" s="1509"/>
      <c r="P3" s="1509"/>
      <c r="Q3" s="1509"/>
    </row>
    <row r="4" spans="1:17" x14ac:dyDescent="0.25">
      <c r="A4" s="1506"/>
      <c r="B4" s="1506"/>
      <c r="C4" s="1506"/>
      <c r="D4" s="1506"/>
      <c r="E4" s="1506"/>
      <c r="F4" s="1506"/>
      <c r="G4" s="1506"/>
      <c r="H4" s="1506"/>
      <c r="I4" s="1508"/>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510">
        <v>2</v>
      </c>
      <c r="B6" s="1510" t="s">
        <v>2814</v>
      </c>
      <c r="C6" s="1510" t="s">
        <v>2815</v>
      </c>
      <c r="D6" s="1510" t="s">
        <v>2816</v>
      </c>
      <c r="E6" s="1510" t="s">
        <v>2817</v>
      </c>
      <c r="F6" s="1510" t="s">
        <v>2822</v>
      </c>
      <c r="G6" s="1510" t="s">
        <v>2823</v>
      </c>
      <c r="H6" s="1513" t="s">
        <v>705</v>
      </c>
      <c r="I6" s="1516" t="s">
        <v>705</v>
      </c>
      <c r="J6" s="1426" t="s">
        <v>2824</v>
      </c>
      <c r="K6" s="1426" t="s">
        <v>2825</v>
      </c>
      <c r="L6" s="1526">
        <v>1</v>
      </c>
      <c r="M6" s="1426">
        <v>0</v>
      </c>
      <c r="N6" s="90" t="s">
        <v>319</v>
      </c>
      <c r="O6" s="74" t="s">
        <v>320</v>
      </c>
      <c r="P6" s="75" t="s">
        <v>883</v>
      </c>
      <c r="Q6" s="75">
        <v>0</v>
      </c>
    </row>
    <row r="7" spans="1:17" ht="90" x14ac:dyDescent="0.25">
      <c r="A7" s="1511"/>
      <c r="B7" s="1511"/>
      <c r="C7" s="1511"/>
      <c r="D7" s="1511"/>
      <c r="E7" s="1511"/>
      <c r="F7" s="1511"/>
      <c r="G7" s="1511"/>
      <c r="H7" s="1514"/>
      <c r="I7" s="1517"/>
      <c r="J7" s="1426"/>
      <c r="K7" s="1426"/>
      <c r="L7" s="1527"/>
      <c r="M7" s="1426"/>
      <c r="N7" s="90" t="s">
        <v>321</v>
      </c>
      <c r="O7" s="74" t="s">
        <v>322</v>
      </c>
      <c r="P7" s="75" t="s">
        <v>883</v>
      </c>
      <c r="Q7" s="75">
        <v>0</v>
      </c>
    </row>
    <row r="8" spans="1:17" ht="75" x14ac:dyDescent="0.25">
      <c r="A8" s="1512"/>
      <c r="B8" s="1512"/>
      <c r="C8" s="1512"/>
      <c r="D8" s="1512"/>
      <c r="E8" s="1512"/>
      <c r="F8" s="1512"/>
      <c r="G8" s="1512"/>
      <c r="H8" s="1515"/>
      <c r="I8" s="1518"/>
      <c r="J8" s="1426"/>
      <c r="K8" s="1426"/>
      <c r="L8" s="1528"/>
      <c r="M8" s="1426"/>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510">
        <v>13</v>
      </c>
      <c r="B19" s="1510" t="s">
        <v>2826</v>
      </c>
      <c r="C19" s="1510" t="s">
        <v>2827</v>
      </c>
      <c r="D19" s="1510" t="s">
        <v>2840</v>
      </c>
      <c r="E19" s="1510" t="s">
        <v>434</v>
      </c>
      <c r="F19" s="1510" t="s">
        <v>2870</v>
      </c>
      <c r="G19" s="1510" t="s">
        <v>2875</v>
      </c>
      <c r="H19" s="1513" t="s">
        <v>2720</v>
      </c>
      <c r="I19" s="1513" t="s">
        <v>2720</v>
      </c>
      <c r="J19" s="74" t="s">
        <v>2876</v>
      </c>
      <c r="K19" s="74" t="s">
        <v>2877</v>
      </c>
      <c r="L19" s="75">
        <v>2</v>
      </c>
      <c r="M19" s="75">
        <v>0</v>
      </c>
      <c r="N19" s="74" t="s">
        <v>78</v>
      </c>
      <c r="O19" s="74" t="s">
        <v>79</v>
      </c>
      <c r="P19" s="75" t="s">
        <v>2639</v>
      </c>
      <c r="Q19" s="75" t="s">
        <v>2878</v>
      </c>
    </row>
    <row r="20" spans="1:17" ht="30" x14ac:dyDescent="0.25">
      <c r="A20" s="1512"/>
      <c r="B20" s="1512"/>
      <c r="C20" s="1512"/>
      <c r="D20" s="1512"/>
      <c r="E20" s="1512"/>
      <c r="F20" s="1512"/>
      <c r="G20" s="1512"/>
      <c r="H20" s="1515"/>
      <c r="I20" s="1515"/>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510">
        <v>16</v>
      </c>
      <c r="B23" s="1510" t="s">
        <v>2880</v>
      </c>
      <c r="C23" s="1510" t="s">
        <v>2881</v>
      </c>
      <c r="D23" s="1510" t="s">
        <v>2892</v>
      </c>
      <c r="E23" s="1510" t="s">
        <v>2893</v>
      </c>
      <c r="F23" s="1510" t="s">
        <v>2894</v>
      </c>
      <c r="G23" s="1510" t="s">
        <v>2895</v>
      </c>
      <c r="H23" s="1516" t="s">
        <v>698</v>
      </c>
      <c r="I23" s="1519" t="s">
        <v>698</v>
      </c>
      <c r="J23" s="1426" t="s">
        <v>2896</v>
      </c>
      <c r="K23" s="1426" t="s">
        <v>2897</v>
      </c>
      <c r="L23" s="1426">
        <v>50</v>
      </c>
      <c r="M23" s="1426">
        <v>0</v>
      </c>
      <c r="N23" s="96" t="s">
        <v>35</v>
      </c>
      <c r="O23" s="90" t="s">
        <v>36</v>
      </c>
      <c r="P23" s="75" t="s">
        <v>794</v>
      </c>
      <c r="Q23" s="75" t="s">
        <v>2898</v>
      </c>
    </row>
    <row r="24" spans="1:17" ht="45" x14ac:dyDescent="0.25">
      <c r="A24" s="1511"/>
      <c r="B24" s="1511"/>
      <c r="C24" s="1511"/>
      <c r="D24" s="1511"/>
      <c r="E24" s="1511"/>
      <c r="F24" s="1511"/>
      <c r="G24" s="1511"/>
      <c r="H24" s="1517"/>
      <c r="I24" s="1519"/>
      <c r="J24" s="1426"/>
      <c r="K24" s="1426"/>
      <c r="L24" s="1426"/>
      <c r="M24" s="1426"/>
      <c r="N24" s="96" t="s">
        <v>39</v>
      </c>
      <c r="O24" s="90" t="s">
        <v>40</v>
      </c>
      <c r="P24" s="75" t="s">
        <v>2720</v>
      </c>
      <c r="Q24" s="75" t="s">
        <v>2899</v>
      </c>
    </row>
    <row r="25" spans="1:17" ht="30" x14ac:dyDescent="0.25">
      <c r="A25" s="1512"/>
      <c r="B25" s="1512"/>
      <c r="C25" s="1512"/>
      <c r="D25" s="1512"/>
      <c r="E25" s="1512"/>
      <c r="F25" s="1512"/>
      <c r="G25" s="1512"/>
      <c r="H25" s="1518"/>
      <c r="I25" s="1519"/>
      <c r="J25" s="1426"/>
      <c r="K25" s="1426"/>
      <c r="L25" s="1426"/>
      <c r="M25" s="1426"/>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510">
        <v>19</v>
      </c>
      <c r="B28" s="1510" t="s">
        <v>2880</v>
      </c>
      <c r="C28" s="1510" t="s">
        <v>2881</v>
      </c>
      <c r="D28" s="1510" t="s">
        <v>2892</v>
      </c>
      <c r="E28" s="1510" t="s">
        <v>2893</v>
      </c>
      <c r="F28" s="1510" t="s">
        <v>2901</v>
      </c>
      <c r="G28" s="1510" t="s">
        <v>2908</v>
      </c>
      <c r="H28" s="1513" t="s">
        <v>1428</v>
      </c>
      <c r="I28" s="1513" t="s">
        <v>1428</v>
      </c>
      <c r="J28" s="74" t="s">
        <v>2909</v>
      </c>
      <c r="K28" s="74" t="s">
        <v>2910</v>
      </c>
      <c r="L28" s="75">
        <v>10</v>
      </c>
      <c r="M28" s="75">
        <v>0</v>
      </c>
      <c r="N28" s="74" t="s">
        <v>139</v>
      </c>
      <c r="O28" s="74" t="s">
        <v>140</v>
      </c>
      <c r="P28" s="75" t="s">
        <v>681</v>
      </c>
      <c r="Q28" s="75" t="s">
        <v>2911</v>
      </c>
    </row>
    <row r="29" spans="1:17" ht="45" x14ac:dyDescent="0.25">
      <c r="A29" s="1511"/>
      <c r="B29" s="1511"/>
      <c r="C29" s="1511"/>
      <c r="D29" s="1511"/>
      <c r="E29" s="1511"/>
      <c r="F29" s="1511"/>
      <c r="G29" s="1511"/>
      <c r="H29" s="1514"/>
      <c r="I29" s="1514"/>
      <c r="J29" s="76"/>
      <c r="K29" s="77"/>
      <c r="L29" s="77"/>
      <c r="M29" s="78"/>
      <c r="N29" s="74" t="s">
        <v>103</v>
      </c>
      <c r="O29" s="74" t="s">
        <v>104</v>
      </c>
      <c r="P29" s="75" t="s">
        <v>681</v>
      </c>
      <c r="Q29" s="75" t="s">
        <v>2912</v>
      </c>
    </row>
    <row r="30" spans="1:17" ht="60" x14ac:dyDescent="0.25">
      <c r="A30" s="1511"/>
      <c r="B30" s="1511"/>
      <c r="C30" s="1511"/>
      <c r="D30" s="1511"/>
      <c r="E30" s="1511"/>
      <c r="F30" s="1511"/>
      <c r="G30" s="1511"/>
      <c r="H30" s="1514"/>
      <c r="I30" s="1514"/>
      <c r="J30" s="76"/>
      <c r="K30" s="77"/>
      <c r="L30" s="77"/>
      <c r="M30" s="78"/>
      <c r="N30" s="74" t="s">
        <v>185</v>
      </c>
      <c r="O30" s="74" t="s">
        <v>186</v>
      </c>
      <c r="P30" s="75" t="s">
        <v>681</v>
      </c>
      <c r="Q30" s="75">
        <v>0</v>
      </c>
    </row>
    <row r="31" spans="1:17" ht="75" x14ac:dyDescent="0.25">
      <c r="A31" s="1511"/>
      <c r="B31" s="1511"/>
      <c r="C31" s="1511"/>
      <c r="D31" s="1511"/>
      <c r="E31" s="1511"/>
      <c r="F31" s="1511"/>
      <c r="G31" s="1511"/>
      <c r="H31" s="1514"/>
      <c r="I31" s="1514"/>
      <c r="J31" s="76"/>
      <c r="K31" s="77"/>
      <c r="L31" s="77"/>
      <c r="M31" s="78"/>
      <c r="N31" s="74" t="s">
        <v>151</v>
      </c>
      <c r="O31" s="74" t="s">
        <v>152</v>
      </c>
      <c r="P31" s="75" t="s">
        <v>681</v>
      </c>
      <c r="Q31" s="75" t="s">
        <v>1102</v>
      </c>
    </row>
    <row r="32" spans="1:17" ht="45" x14ac:dyDescent="0.25">
      <c r="A32" s="1511"/>
      <c r="B32" s="1511"/>
      <c r="C32" s="1511"/>
      <c r="D32" s="1511"/>
      <c r="E32" s="1511"/>
      <c r="F32" s="1511"/>
      <c r="G32" s="1511"/>
      <c r="H32" s="1514"/>
      <c r="I32" s="1514"/>
      <c r="J32" s="76"/>
      <c r="K32" s="77"/>
      <c r="L32" s="77"/>
      <c r="M32" s="78"/>
      <c r="N32" s="74" t="s">
        <v>101</v>
      </c>
      <c r="O32" s="74" t="s">
        <v>102</v>
      </c>
      <c r="P32" s="75" t="s">
        <v>681</v>
      </c>
      <c r="Q32" s="75" t="s">
        <v>2913</v>
      </c>
    </row>
    <row r="33" spans="1:17" ht="45" x14ac:dyDescent="0.25">
      <c r="A33" s="1511"/>
      <c r="B33" s="1511"/>
      <c r="C33" s="1511"/>
      <c r="D33" s="1511"/>
      <c r="E33" s="1511"/>
      <c r="F33" s="1511"/>
      <c r="G33" s="1511"/>
      <c r="H33" s="1514"/>
      <c r="I33" s="1514"/>
      <c r="J33" s="76"/>
      <c r="K33" s="77"/>
      <c r="L33" s="77"/>
      <c r="M33" s="78"/>
      <c r="N33" s="74" t="s">
        <v>99</v>
      </c>
      <c r="O33" s="74" t="s">
        <v>100</v>
      </c>
      <c r="P33" s="75" t="s">
        <v>681</v>
      </c>
      <c r="Q33" s="75" t="s">
        <v>2914</v>
      </c>
    </row>
    <row r="34" spans="1:17" ht="60" x14ac:dyDescent="0.25">
      <c r="A34" s="1511"/>
      <c r="B34" s="1511"/>
      <c r="C34" s="1511"/>
      <c r="D34" s="1511"/>
      <c r="E34" s="1511"/>
      <c r="F34" s="1511"/>
      <c r="G34" s="1511"/>
      <c r="H34" s="1514"/>
      <c r="I34" s="1514"/>
      <c r="J34" s="76"/>
      <c r="K34" s="77"/>
      <c r="L34" s="77"/>
      <c r="M34" s="78"/>
      <c r="N34" s="74" t="s">
        <v>177</v>
      </c>
      <c r="O34" s="74" t="s">
        <v>178</v>
      </c>
      <c r="P34" s="75" t="s">
        <v>681</v>
      </c>
      <c r="Q34" s="75">
        <v>0</v>
      </c>
    </row>
    <row r="35" spans="1:17" ht="60" x14ac:dyDescent="0.25">
      <c r="A35" s="1511"/>
      <c r="B35" s="1511"/>
      <c r="C35" s="1511"/>
      <c r="D35" s="1511"/>
      <c r="E35" s="1511"/>
      <c r="F35" s="1511"/>
      <c r="G35" s="1511"/>
      <c r="H35" s="1514"/>
      <c r="I35" s="1514"/>
      <c r="J35" s="76"/>
      <c r="K35" s="77"/>
      <c r="L35" s="77"/>
      <c r="M35" s="78"/>
      <c r="N35" s="74" t="s">
        <v>161</v>
      </c>
      <c r="O35" s="74" t="s">
        <v>162</v>
      </c>
      <c r="P35" s="75" t="s">
        <v>681</v>
      </c>
      <c r="Q35" s="75" t="s">
        <v>2915</v>
      </c>
    </row>
    <row r="36" spans="1:17" ht="26.25" customHeight="1" x14ac:dyDescent="0.25">
      <c r="A36" s="1511"/>
      <c r="B36" s="1511"/>
      <c r="C36" s="1511"/>
      <c r="D36" s="1511"/>
      <c r="E36" s="1511"/>
      <c r="F36" s="1511"/>
      <c r="G36" s="1511"/>
      <c r="H36" s="1514"/>
      <c r="I36" s="1514"/>
      <c r="J36" s="76"/>
      <c r="K36" s="77"/>
      <c r="L36" s="77"/>
      <c r="M36" s="78"/>
      <c r="N36" s="74" t="s">
        <v>169</v>
      </c>
      <c r="O36" s="74" t="s">
        <v>170</v>
      </c>
      <c r="P36" s="75" t="s">
        <v>681</v>
      </c>
      <c r="Q36" s="75" t="s">
        <v>2916</v>
      </c>
    </row>
    <row r="37" spans="1:17" ht="18.75" customHeight="1" x14ac:dyDescent="0.25">
      <c r="A37" s="1512"/>
      <c r="B37" s="1512"/>
      <c r="C37" s="1512"/>
      <c r="D37" s="1512"/>
      <c r="E37" s="1512"/>
      <c r="F37" s="1512"/>
      <c r="G37" s="1512"/>
      <c r="H37" s="1515"/>
      <c r="I37" s="1515"/>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510">
        <v>30</v>
      </c>
      <c r="B48" s="1510" t="s">
        <v>2923</v>
      </c>
      <c r="C48" s="1510" t="s">
        <v>2924</v>
      </c>
      <c r="D48" s="1510" t="s">
        <v>2943</v>
      </c>
      <c r="E48" s="1510" t="s">
        <v>2944</v>
      </c>
      <c r="F48" s="1510" t="s">
        <v>2961</v>
      </c>
      <c r="G48" s="1510" t="s">
        <v>2962</v>
      </c>
      <c r="H48" s="1513" t="s">
        <v>2963</v>
      </c>
      <c r="I48" s="1513" t="s">
        <v>2963</v>
      </c>
      <c r="J48" s="74" t="s">
        <v>2964</v>
      </c>
      <c r="K48" s="74" t="s">
        <v>2965</v>
      </c>
      <c r="L48" s="75">
        <v>9</v>
      </c>
      <c r="M48" s="75">
        <v>0</v>
      </c>
      <c r="N48" s="74" t="s">
        <v>179</v>
      </c>
      <c r="O48" s="74" t="s">
        <v>135</v>
      </c>
      <c r="P48" s="75" t="s">
        <v>2966</v>
      </c>
      <c r="Q48" s="75" t="s">
        <v>2967</v>
      </c>
    </row>
    <row r="49" spans="1:17" ht="90" x14ac:dyDescent="0.25">
      <c r="A49" s="1511"/>
      <c r="B49" s="1511"/>
      <c r="C49" s="1511"/>
      <c r="D49" s="1511"/>
      <c r="E49" s="1511"/>
      <c r="F49" s="1511"/>
      <c r="G49" s="1511"/>
      <c r="H49" s="1514"/>
      <c r="I49" s="1514"/>
      <c r="J49" s="76"/>
      <c r="K49" s="77"/>
      <c r="L49" s="77"/>
      <c r="M49" s="78"/>
      <c r="N49" s="74" t="s">
        <v>153</v>
      </c>
      <c r="O49" s="74" t="s">
        <v>135</v>
      </c>
      <c r="P49" s="75" t="s">
        <v>1295</v>
      </c>
      <c r="Q49" s="75" t="s">
        <v>2968</v>
      </c>
    </row>
    <row r="50" spans="1:17" ht="90" x14ac:dyDescent="0.25">
      <c r="A50" s="1511"/>
      <c r="B50" s="1511"/>
      <c r="C50" s="1511"/>
      <c r="D50" s="1511"/>
      <c r="E50" s="1511"/>
      <c r="F50" s="1511"/>
      <c r="G50" s="1511"/>
      <c r="H50" s="1514"/>
      <c r="I50" s="1514"/>
      <c r="J50" s="76"/>
      <c r="K50" s="77"/>
      <c r="L50" s="77"/>
      <c r="M50" s="78"/>
      <c r="N50" s="74" t="s">
        <v>141</v>
      </c>
      <c r="O50" s="74" t="s">
        <v>135</v>
      </c>
      <c r="P50" s="75" t="s">
        <v>680</v>
      </c>
      <c r="Q50" s="75" t="s">
        <v>2969</v>
      </c>
    </row>
    <row r="51" spans="1:17" ht="90" x14ac:dyDescent="0.25">
      <c r="A51" s="1511"/>
      <c r="B51" s="1511"/>
      <c r="C51" s="1511"/>
      <c r="D51" s="1511"/>
      <c r="E51" s="1511"/>
      <c r="F51" s="1511"/>
      <c r="G51" s="1511"/>
      <c r="H51" s="1514"/>
      <c r="I51" s="1514"/>
      <c r="J51" s="76"/>
      <c r="K51" s="77"/>
      <c r="L51" s="77"/>
      <c r="M51" s="78"/>
      <c r="N51" s="74" t="s">
        <v>187</v>
      </c>
      <c r="O51" s="74" t="s">
        <v>135</v>
      </c>
      <c r="P51" s="75" t="s">
        <v>705</v>
      </c>
      <c r="Q51" s="75" t="s">
        <v>2970</v>
      </c>
    </row>
    <row r="52" spans="1:17" ht="90" x14ac:dyDescent="0.25">
      <c r="A52" s="1511"/>
      <c r="B52" s="1511"/>
      <c r="C52" s="1511"/>
      <c r="D52" s="1511"/>
      <c r="E52" s="1511"/>
      <c r="F52" s="1511"/>
      <c r="G52" s="1511"/>
      <c r="H52" s="1514"/>
      <c r="I52" s="1514"/>
      <c r="J52" s="76"/>
      <c r="K52" s="77"/>
      <c r="L52" s="77"/>
      <c r="M52" s="78"/>
      <c r="N52" s="74" t="s">
        <v>163</v>
      </c>
      <c r="O52" s="74" t="s">
        <v>135</v>
      </c>
      <c r="P52" s="75" t="s">
        <v>707</v>
      </c>
      <c r="Q52" s="75" t="s">
        <v>681</v>
      </c>
    </row>
    <row r="53" spans="1:17" ht="90" x14ac:dyDescent="0.25">
      <c r="A53" s="1511"/>
      <c r="B53" s="1511"/>
      <c r="C53" s="1511"/>
      <c r="D53" s="1511"/>
      <c r="E53" s="1511"/>
      <c r="F53" s="1511"/>
      <c r="G53" s="1511"/>
      <c r="H53" s="1514"/>
      <c r="I53" s="1514"/>
      <c r="J53" s="76"/>
      <c r="K53" s="77"/>
      <c r="L53" s="77"/>
      <c r="M53" s="78"/>
      <c r="N53" s="74" t="s">
        <v>134</v>
      </c>
      <c r="O53" s="74" t="s">
        <v>135</v>
      </c>
      <c r="P53" s="75" t="s">
        <v>2971</v>
      </c>
      <c r="Q53" s="75" t="s">
        <v>2972</v>
      </c>
    </row>
    <row r="54" spans="1:17" ht="90" x14ac:dyDescent="0.25">
      <c r="A54" s="1512"/>
      <c r="B54" s="1512"/>
      <c r="C54" s="1512"/>
      <c r="D54" s="1512"/>
      <c r="E54" s="1512"/>
      <c r="F54" s="1512"/>
      <c r="G54" s="1512"/>
      <c r="H54" s="1515"/>
      <c r="I54" s="1515"/>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510">
        <v>35</v>
      </c>
      <c r="B59" s="1510" t="s">
        <v>2923</v>
      </c>
      <c r="C59" s="1510" t="s">
        <v>2924</v>
      </c>
      <c r="D59" s="1510" t="s">
        <v>2943</v>
      </c>
      <c r="E59" s="1510" t="s">
        <v>2944</v>
      </c>
      <c r="F59" s="1510" t="s">
        <v>2988</v>
      </c>
      <c r="G59" s="1510" t="s">
        <v>2989</v>
      </c>
      <c r="H59" s="1513" t="s">
        <v>2600</v>
      </c>
      <c r="I59" s="1513" t="s">
        <v>2600</v>
      </c>
      <c r="J59" s="74" t="s">
        <v>2990</v>
      </c>
      <c r="K59" s="74" t="s">
        <v>2991</v>
      </c>
      <c r="L59" s="75">
        <v>5</v>
      </c>
      <c r="M59" s="75">
        <v>0</v>
      </c>
      <c r="N59" s="74" t="s">
        <v>379</v>
      </c>
      <c r="O59" s="74" t="s">
        <v>380</v>
      </c>
      <c r="P59" s="75" t="s">
        <v>1149</v>
      </c>
      <c r="Q59" s="75" t="s">
        <v>1149</v>
      </c>
    </row>
    <row r="60" spans="1:17" ht="45" x14ac:dyDescent="0.25">
      <c r="A60" s="1511"/>
      <c r="B60" s="1511"/>
      <c r="C60" s="1511"/>
      <c r="D60" s="1511"/>
      <c r="E60" s="1511"/>
      <c r="F60" s="1511"/>
      <c r="G60" s="1511"/>
      <c r="H60" s="1514"/>
      <c r="I60" s="1514"/>
      <c r="J60" s="76"/>
      <c r="K60" s="77"/>
      <c r="L60" s="77"/>
      <c r="M60" s="78"/>
      <c r="N60" s="74" t="s">
        <v>393</v>
      </c>
      <c r="O60" s="74" t="s">
        <v>394</v>
      </c>
      <c r="P60" s="75" t="s">
        <v>1149</v>
      </c>
      <c r="Q60" s="75" t="s">
        <v>1149</v>
      </c>
    </row>
    <row r="61" spans="1:17" ht="30" x14ac:dyDescent="0.25">
      <c r="A61" s="1512"/>
      <c r="B61" s="1512"/>
      <c r="C61" s="1512"/>
      <c r="D61" s="1512"/>
      <c r="E61" s="1512"/>
      <c r="F61" s="1512"/>
      <c r="G61" s="1512"/>
      <c r="H61" s="1515"/>
      <c r="I61" s="1515"/>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510">
        <v>44</v>
      </c>
      <c r="B70" s="1510" t="s">
        <v>2923</v>
      </c>
      <c r="C70" s="1510" t="s">
        <v>2924</v>
      </c>
      <c r="D70" s="1510" t="s">
        <v>3030</v>
      </c>
      <c r="E70" s="1510" t="s">
        <v>3031</v>
      </c>
      <c r="F70" s="1510" t="s">
        <v>3032</v>
      </c>
      <c r="G70" s="1510" t="s">
        <v>3033</v>
      </c>
      <c r="H70" s="1513" t="s">
        <v>3034</v>
      </c>
      <c r="I70" s="1513" t="s">
        <v>3034</v>
      </c>
      <c r="J70" s="74" t="s">
        <v>3035</v>
      </c>
      <c r="K70" s="74" t="s">
        <v>3036</v>
      </c>
      <c r="L70" s="75">
        <v>15.2</v>
      </c>
      <c r="M70" s="75">
        <v>0</v>
      </c>
      <c r="N70" s="74" t="s">
        <v>232</v>
      </c>
      <c r="O70" s="74" t="s">
        <v>233</v>
      </c>
      <c r="P70" s="75" t="s">
        <v>3037</v>
      </c>
      <c r="Q70" s="75" t="s">
        <v>3037</v>
      </c>
    </row>
    <row r="71" spans="1:17" ht="30" x14ac:dyDescent="0.25">
      <c r="A71" s="1511"/>
      <c r="B71" s="1511"/>
      <c r="C71" s="1511"/>
      <c r="D71" s="1511"/>
      <c r="E71" s="1511"/>
      <c r="F71" s="1511"/>
      <c r="G71" s="1511"/>
      <c r="H71" s="1514"/>
      <c r="I71" s="1514"/>
      <c r="J71" s="76"/>
      <c r="K71" s="77"/>
      <c r="L71" s="77"/>
      <c r="M71" s="78"/>
      <c r="N71" s="74" t="s">
        <v>234</v>
      </c>
      <c r="O71" s="74" t="s">
        <v>235</v>
      </c>
      <c r="P71" s="75" t="s">
        <v>3038</v>
      </c>
      <c r="Q71" s="75" t="s">
        <v>3038</v>
      </c>
    </row>
    <row r="72" spans="1:17" ht="30" x14ac:dyDescent="0.25">
      <c r="A72" s="1512"/>
      <c r="B72" s="1512"/>
      <c r="C72" s="1512"/>
      <c r="D72" s="1512"/>
      <c r="E72" s="1512"/>
      <c r="F72" s="1512"/>
      <c r="G72" s="1512"/>
      <c r="H72" s="1515"/>
      <c r="I72" s="1515"/>
      <c r="J72" s="79"/>
      <c r="K72" s="80"/>
      <c r="L72" s="80"/>
      <c r="M72" s="81"/>
      <c r="N72" s="74" t="s">
        <v>230</v>
      </c>
      <c r="O72" s="74" t="s">
        <v>231</v>
      </c>
      <c r="P72" s="75" t="s">
        <v>3039</v>
      </c>
      <c r="Q72" s="75" t="s">
        <v>3039</v>
      </c>
    </row>
    <row r="73" spans="1:17" ht="45" x14ac:dyDescent="0.25">
      <c r="A73" s="1510">
        <v>45</v>
      </c>
      <c r="B73" s="1510" t="s">
        <v>2923</v>
      </c>
      <c r="C73" s="1510" t="s">
        <v>2924</v>
      </c>
      <c r="D73" s="1510" t="s">
        <v>3030</v>
      </c>
      <c r="E73" s="1510" t="s">
        <v>3031</v>
      </c>
      <c r="F73" s="1510" t="s">
        <v>3032</v>
      </c>
      <c r="G73" s="1510" t="s">
        <v>3040</v>
      </c>
      <c r="H73" s="1513" t="s">
        <v>3041</v>
      </c>
      <c r="I73" s="1513" t="s">
        <v>3041</v>
      </c>
      <c r="J73" s="74" t="s">
        <v>3042</v>
      </c>
      <c r="K73" s="74" t="s">
        <v>3043</v>
      </c>
      <c r="L73" s="75">
        <v>20</v>
      </c>
      <c r="M73" s="75">
        <v>0</v>
      </c>
      <c r="N73" s="74" t="s">
        <v>93</v>
      </c>
      <c r="O73" s="74" t="s">
        <v>94</v>
      </c>
      <c r="P73" s="75" t="s">
        <v>680</v>
      </c>
      <c r="Q73" s="75" t="s">
        <v>3044</v>
      </c>
    </row>
    <row r="74" spans="1:17" ht="45" x14ac:dyDescent="0.25">
      <c r="A74" s="1511"/>
      <c r="B74" s="1511"/>
      <c r="C74" s="1511"/>
      <c r="D74" s="1511"/>
      <c r="E74" s="1511"/>
      <c r="F74" s="1511"/>
      <c r="G74" s="1511"/>
      <c r="H74" s="1514"/>
      <c r="I74" s="1514"/>
      <c r="J74" s="76"/>
      <c r="K74" s="77"/>
      <c r="L74" s="77"/>
      <c r="M74" s="78"/>
      <c r="N74" s="74" t="s">
        <v>97</v>
      </c>
      <c r="O74" s="74" t="s">
        <v>98</v>
      </c>
      <c r="P74" s="75" t="s">
        <v>999</v>
      </c>
      <c r="Q74" s="75" t="s">
        <v>3045</v>
      </c>
    </row>
    <row r="75" spans="1:17" ht="45" x14ac:dyDescent="0.25">
      <c r="A75" s="1511"/>
      <c r="B75" s="1511"/>
      <c r="C75" s="1511"/>
      <c r="D75" s="1511"/>
      <c r="E75" s="1511"/>
      <c r="F75" s="1511"/>
      <c r="G75" s="1511"/>
      <c r="H75" s="1514"/>
      <c r="I75" s="1514"/>
      <c r="J75" s="76"/>
      <c r="K75" s="77"/>
      <c r="L75" s="77"/>
      <c r="M75" s="78"/>
      <c r="N75" s="74" t="s">
        <v>95</v>
      </c>
      <c r="O75" s="74" t="s">
        <v>96</v>
      </c>
      <c r="P75" s="75" t="s">
        <v>3046</v>
      </c>
      <c r="Q75" s="75" t="s">
        <v>3047</v>
      </c>
    </row>
    <row r="76" spans="1:17" ht="45" x14ac:dyDescent="0.25">
      <c r="A76" s="1512"/>
      <c r="B76" s="1512"/>
      <c r="C76" s="1512"/>
      <c r="D76" s="1512"/>
      <c r="E76" s="1512"/>
      <c r="F76" s="1512"/>
      <c r="G76" s="1512"/>
      <c r="H76" s="1515"/>
      <c r="I76" s="1515"/>
      <c r="J76" s="79"/>
      <c r="K76" s="80"/>
      <c r="L76" s="80"/>
      <c r="M76" s="81"/>
      <c r="N76" s="74" t="s">
        <v>91</v>
      </c>
      <c r="O76" s="74" t="s">
        <v>92</v>
      </c>
      <c r="P76" s="75" t="s">
        <v>1149</v>
      </c>
      <c r="Q76" s="75" t="s">
        <v>3048</v>
      </c>
    </row>
    <row r="77" spans="1:17" ht="75" x14ac:dyDescent="0.25">
      <c r="A77" s="1510">
        <v>46</v>
      </c>
      <c r="B77" s="1510" t="s">
        <v>2923</v>
      </c>
      <c r="C77" s="1510" t="s">
        <v>2924</v>
      </c>
      <c r="D77" s="1510" t="s">
        <v>3030</v>
      </c>
      <c r="E77" s="1510" t="s">
        <v>3031</v>
      </c>
      <c r="F77" s="1510" t="s">
        <v>3032</v>
      </c>
      <c r="G77" s="1510" t="s">
        <v>3049</v>
      </c>
      <c r="H77" s="1513" t="s">
        <v>3050</v>
      </c>
      <c r="I77" s="1513" t="s">
        <v>3051</v>
      </c>
      <c r="J77" s="74" t="s">
        <v>3052</v>
      </c>
      <c r="K77" s="74" t="s">
        <v>3053</v>
      </c>
      <c r="L77" s="75">
        <v>16</v>
      </c>
      <c r="M77" s="75">
        <v>0</v>
      </c>
      <c r="N77" s="74" t="s">
        <v>299</v>
      </c>
      <c r="O77" s="74" t="s">
        <v>300</v>
      </c>
      <c r="P77" s="75" t="s">
        <v>705</v>
      </c>
      <c r="Q77" s="75" t="s">
        <v>3054</v>
      </c>
    </row>
    <row r="78" spans="1:17" ht="45" x14ac:dyDescent="0.25">
      <c r="A78" s="1511"/>
      <c r="B78" s="1511"/>
      <c r="C78" s="1511"/>
      <c r="D78" s="1511"/>
      <c r="E78" s="1511"/>
      <c r="F78" s="1511"/>
      <c r="G78" s="1511"/>
      <c r="H78" s="1514"/>
      <c r="I78" s="1514"/>
      <c r="J78" s="76"/>
      <c r="K78" s="77"/>
      <c r="L78" s="77"/>
      <c r="M78" s="78"/>
      <c r="N78" s="74" t="s">
        <v>308</v>
      </c>
      <c r="O78" s="74" t="s">
        <v>309</v>
      </c>
      <c r="P78" s="75" t="s">
        <v>676</v>
      </c>
      <c r="Q78" s="75" t="s">
        <v>3055</v>
      </c>
    </row>
    <row r="79" spans="1:17" ht="30" x14ac:dyDescent="0.25">
      <c r="A79" s="1511"/>
      <c r="B79" s="1511"/>
      <c r="C79" s="1511"/>
      <c r="D79" s="1511"/>
      <c r="E79" s="1511"/>
      <c r="F79" s="1511"/>
      <c r="G79" s="1511"/>
      <c r="H79" s="1514"/>
      <c r="I79" s="1514"/>
      <c r="J79" s="76"/>
      <c r="K79" s="77"/>
      <c r="L79" s="77"/>
      <c r="M79" s="78"/>
      <c r="N79" s="74" t="s">
        <v>250</v>
      </c>
      <c r="O79" s="74" t="s">
        <v>251</v>
      </c>
      <c r="P79" s="75" t="s">
        <v>1149</v>
      </c>
      <c r="Q79" s="75" t="s">
        <v>3056</v>
      </c>
    </row>
    <row r="80" spans="1:17" ht="45" x14ac:dyDescent="0.25">
      <c r="A80" s="1511"/>
      <c r="B80" s="1511"/>
      <c r="C80" s="1511"/>
      <c r="D80" s="1511"/>
      <c r="E80" s="1511"/>
      <c r="F80" s="1511"/>
      <c r="G80" s="1511"/>
      <c r="H80" s="1514"/>
      <c r="I80" s="1514"/>
      <c r="J80" s="76"/>
      <c r="K80" s="77"/>
      <c r="L80" s="77"/>
      <c r="M80" s="78"/>
      <c r="N80" s="74" t="s">
        <v>208</v>
      </c>
      <c r="O80" s="74" t="s">
        <v>207</v>
      </c>
      <c r="P80" s="75" t="s">
        <v>687</v>
      </c>
      <c r="Q80" s="75" t="s">
        <v>3057</v>
      </c>
    </row>
    <row r="81" spans="1:17" ht="45" x14ac:dyDescent="0.25">
      <c r="A81" s="1511"/>
      <c r="B81" s="1511"/>
      <c r="C81" s="1511"/>
      <c r="D81" s="1511"/>
      <c r="E81" s="1511"/>
      <c r="F81" s="1511"/>
      <c r="G81" s="1511"/>
      <c r="H81" s="1514"/>
      <c r="I81" s="1514"/>
      <c r="J81" s="76"/>
      <c r="K81" s="77"/>
      <c r="L81" s="77"/>
      <c r="M81" s="78"/>
      <c r="N81" s="74" t="s">
        <v>188</v>
      </c>
      <c r="O81" s="74" t="s">
        <v>189</v>
      </c>
      <c r="P81" s="75" t="s">
        <v>1149</v>
      </c>
      <c r="Q81" s="75" t="s">
        <v>3058</v>
      </c>
    </row>
    <row r="82" spans="1:17" ht="30" x14ac:dyDescent="0.25">
      <c r="A82" s="1511"/>
      <c r="B82" s="1511"/>
      <c r="C82" s="1511"/>
      <c r="D82" s="1511"/>
      <c r="E82" s="1511"/>
      <c r="F82" s="1511"/>
      <c r="G82" s="1511"/>
      <c r="H82" s="1514"/>
      <c r="I82" s="1514"/>
      <c r="J82" s="76"/>
      <c r="K82" s="77"/>
      <c r="L82" s="77"/>
      <c r="M82" s="78"/>
      <c r="N82" s="74" t="s">
        <v>142</v>
      </c>
      <c r="O82" s="74" t="s">
        <v>143</v>
      </c>
      <c r="P82" s="75" t="s">
        <v>2720</v>
      </c>
      <c r="Q82" s="75" t="s">
        <v>3059</v>
      </c>
    </row>
    <row r="83" spans="1:17" ht="45" x14ac:dyDescent="0.25">
      <c r="A83" s="1511"/>
      <c r="B83" s="1511"/>
      <c r="C83" s="1511"/>
      <c r="D83" s="1511"/>
      <c r="E83" s="1511"/>
      <c r="F83" s="1511"/>
      <c r="G83" s="1511"/>
      <c r="H83" s="1514"/>
      <c r="I83" s="1514"/>
      <c r="J83" s="76"/>
      <c r="K83" s="77"/>
      <c r="L83" s="77"/>
      <c r="M83" s="78"/>
      <c r="N83" s="74" t="s">
        <v>289</v>
      </c>
      <c r="O83" s="74" t="s">
        <v>290</v>
      </c>
      <c r="P83" s="75" t="s">
        <v>676</v>
      </c>
      <c r="Q83" s="75" t="s">
        <v>3060</v>
      </c>
    </row>
    <row r="84" spans="1:17" ht="60" x14ac:dyDescent="0.25">
      <c r="A84" s="1511"/>
      <c r="B84" s="1511"/>
      <c r="C84" s="1511"/>
      <c r="D84" s="1511"/>
      <c r="E84" s="1511"/>
      <c r="F84" s="1511"/>
      <c r="G84" s="1511"/>
      <c r="H84" s="1514"/>
      <c r="I84" s="1514"/>
      <c r="J84" s="76"/>
      <c r="K84" s="77"/>
      <c r="L84" s="77"/>
      <c r="M84" s="78"/>
      <c r="N84" s="74" t="s">
        <v>154</v>
      </c>
      <c r="O84" s="74" t="s">
        <v>155</v>
      </c>
      <c r="P84" s="75" t="s">
        <v>794</v>
      </c>
      <c r="Q84" s="75" t="s">
        <v>3061</v>
      </c>
    </row>
    <row r="85" spans="1:17" ht="45" x14ac:dyDescent="0.25">
      <c r="A85" s="1511"/>
      <c r="B85" s="1511"/>
      <c r="C85" s="1511"/>
      <c r="D85" s="1511"/>
      <c r="E85" s="1511"/>
      <c r="F85" s="1511"/>
      <c r="G85" s="1511"/>
      <c r="H85" s="1514"/>
      <c r="I85" s="1514"/>
      <c r="J85" s="76"/>
      <c r="K85" s="77"/>
      <c r="L85" s="77"/>
      <c r="M85" s="78"/>
      <c r="N85" s="74" t="s">
        <v>210</v>
      </c>
      <c r="O85" s="74" t="s">
        <v>209</v>
      </c>
      <c r="P85" s="75" t="s">
        <v>1149</v>
      </c>
      <c r="Q85" s="75" t="s">
        <v>3062</v>
      </c>
    </row>
    <row r="86" spans="1:17" ht="45" x14ac:dyDescent="0.25">
      <c r="A86" s="1511"/>
      <c r="B86" s="1511"/>
      <c r="C86" s="1511"/>
      <c r="D86" s="1511"/>
      <c r="E86" s="1511"/>
      <c r="F86" s="1511"/>
      <c r="G86" s="1511"/>
      <c r="H86" s="1514"/>
      <c r="I86" s="1514"/>
      <c r="J86" s="76"/>
      <c r="K86" s="77"/>
      <c r="L86" s="77"/>
      <c r="M86" s="78"/>
      <c r="N86" s="74" t="s">
        <v>180</v>
      </c>
      <c r="O86" s="74" t="s">
        <v>181</v>
      </c>
      <c r="P86" s="75" t="s">
        <v>1149</v>
      </c>
      <c r="Q86" s="75" t="s">
        <v>3063</v>
      </c>
    </row>
    <row r="87" spans="1:17" ht="60" x14ac:dyDescent="0.25">
      <c r="A87" s="1511"/>
      <c r="B87" s="1511"/>
      <c r="C87" s="1511"/>
      <c r="D87" s="1511"/>
      <c r="E87" s="1511"/>
      <c r="F87" s="1511"/>
      <c r="G87" s="1511"/>
      <c r="H87" s="1514"/>
      <c r="I87" s="1514"/>
      <c r="J87" s="76"/>
      <c r="K87" s="77"/>
      <c r="L87" s="77"/>
      <c r="M87" s="78"/>
      <c r="N87" s="74" t="s">
        <v>172</v>
      </c>
      <c r="O87" s="74" t="s">
        <v>173</v>
      </c>
      <c r="P87" s="75" t="s">
        <v>705</v>
      </c>
      <c r="Q87" s="75" t="s">
        <v>3064</v>
      </c>
    </row>
    <row r="88" spans="1:17" ht="30" x14ac:dyDescent="0.25">
      <c r="A88" s="1511"/>
      <c r="B88" s="1511"/>
      <c r="C88" s="1511"/>
      <c r="D88" s="1511"/>
      <c r="E88" s="1511"/>
      <c r="F88" s="1511"/>
      <c r="G88" s="1511"/>
      <c r="H88" s="1514"/>
      <c r="I88" s="1514"/>
      <c r="J88" s="76"/>
      <c r="K88" s="77"/>
      <c r="L88" s="77"/>
      <c r="M88" s="78"/>
      <c r="N88" s="74" t="s">
        <v>206</v>
      </c>
      <c r="O88" s="74" t="s">
        <v>205</v>
      </c>
      <c r="P88" s="75" t="s">
        <v>687</v>
      </c>
      <c r="Q88" s="75" t="s">
        <v>3065</v>
      </c>
    </row>
    <row r="89" spans="1:17" ht="45" x14ac:dyDescent="0.25">
      <c r="A89" s="1511"/>
      <c r="B89" s="1511"/>
      <c r="C89" s="1511"/>
      <c r="D89" s="1511"/>
      <c r="E89" s="1511"/>
      <c r="F89" s="1511"/>
      <c r="G89" s="1511"/>
      <c r="H89" s="1514"/>
      <c r="I89" s="1514"/>
      <c r="J89" s="76"/>
      <c r="K89" s="77"/>
      <c r="L89" s="77"/>
      <c r="M89" s="78"/>
      <c r="N89" s="74" t="s">
        <v>277</v>
      </c>
      <c r="O89" s="74" t="s">
        <v>278</v>
      </c>
      <c r="P89" s="75" t="s">
        <v>705</v>
      </c>
      <c r="Q89" s="75" t="s">
        <v>3066</v>
      </c>
    </row>
    <row r="90" spans="1:17" ht="30" x14ac:dyDescent="0.25">
      <c r="A90" s="1511"/>
      <c r="B90" s="1511"/>
      <c r="C90" s="1511"/>
      <c r="D90" s="1511"/>
      <c r="E90" s="1511"/>
      <c r="F90" s="1511"/>
      <c r="G90" s="1511"/>
      <c r="H90" s="1514"/>
      <c r="I90" s="1514"/>
      <c r="J90" s="76"/>
      <c r="K90" s="77"/>
      <c r="L90" s="77"/>
      <c r="M90" s="78"/>
      <c r="N90" s="74" t="s">
        <v>146</v>
      </c>
      <c r="O90" s="74" t="s">
        <v>147</v>
      </c>
      <c r="P90" s="75" t="s">
        <v>2720</v>
      </c>
      <c r="Q90" s="75" t="s">
        <v>3067</v>
      </c>
    </row>
    <row r="91" spans="1:17" ht="30" x14ac:dyDescent="0.25">
      <c r="A91" s="1511"/>
      <c r="B91" s="1511"/>
      <c r="C91" s="1511"/>
      <c r="D91" s="1511"/>
      <c r="E91" s="1511"/>
      <c r="F91" s="1511"/>
      <c r="G91" s="1511"/>
      <c r="H91" s="1514"/>
      <c r="I91" s="1514"/>
      <c r="J91" s="76"/>
      <c r="K91" s="77"/>
      <c r="L91" s="77"/>
      <c r="M91" s="78"/>
      <c r="N91" s="74" t="s">
        <v>164</v>
      </c>
      <c r="O91" s="74" t="s">
        <v>165</v>
      </c>
      <c r="P91" s="75" t="s">
        <v>705</v>
      </c>
      <c r="Q91" s="75" t="s">
        <v>3068</v>
      </c>
    </row>
    <row r="92" spans="1:17" ht="45" x14ac:dyDescent="0.25">
      <c r="A92" s="1511"/>
      <c r="B92" s="1511"/>
      <c r="C92" s="1511"/>
      <c r="D92" s="1511"/>
      <c r="E92" s="1511"/>
      <c r="F92" s="1511"/>
      <c r="G92" s="1511"/>
      <c r="H92" s="1514"/>
      <c r="I92" s="1514"/>
      <c r="J92" s="76"/>
      <c r="K92" s="77"/>
      <c r="L92" s="77"/>
      <c r="M92" s="78"/>
      <c r="N92" s="74" t="s">
        <v>73</v>
      </c>
      <c r="O92" s="74" t="s">
        <v>74</v>
      </c>
      <c r="P92" s="75" t="s">
        <v>3069</v>
      </c>
      <c r="Q92" s="75" t="s">
        <v>3070</v>
      </c>
    </row>
    <row r="93" spans="1:17" ht="45" x14ac:dyDescent="0.25">
      <c r="A93" s="1511"/>
      <c r="B93" s="1511"/>
      <c r="C93" s="1511"/>
      <c r="D93" s="1511"/>
      <c r="E93" s="1511"/>
      <c r="F93" s="1511"/>
      <c r="G93" s="1511"/>
      <c r="H93" s="1514"/>
      <c r="I93" s="1514"/>
      <c r="J93" s="76"/>
      <c r="K93" s="77"/>
      <c r="L93" s="77"/>
      <c r="M93" s="78"/>
      <c r="N93" s="74" t="s">
        <v>1652</v>
      </c>
      <c r="O93" s="74" t="s">
        <v>1653</v>
      </c>
      <c r="P93" s="75" t="s">
        <v>705</v>
      </c>
      <c r="Q93" s="75" t="s">
        <v>3071</v>
      </c>
    </row>
    <row r="94" spans="1:17" ht="45" x14ac:dyDescent="0.25">
      <c r="A94" s="1511"/>
      <c r="B94" s="1511"/>
      <c r="C94" s="1511"/>
      <c r="D94" s="1511"/>
      <c r="E94" s="1511"/>
      <c r="F94" s="1511"/>
      <c r="G94" s="1511"/>
      <c r="H94" s="1514"/>
      <c r="I94" s="1514"/>
      <c r="J94" s="76"/>
      <c r="K94" s="77"/>
      <c r="L94" s="77"/>
      <c r="M94" s="78"/>
      <c r="N94" s="74" t="s">
        <v>294</v>
      </c>
      <c r="O94" s="74" t="s">
        <v>295</v>
      </c>
      <c r="P94" s="75" t="s">
        <v>676</v>
      </c>
      <c r="Q94" s="75" t="s">
        <v>3072</v>
      </c>
    </row>
    <row r="95" spans="1:17" ht="45" x14ac:dyDescent="0.25">
      <c r="A95" s="1511"/>
      <c r="B95" s="1511"/>
      <c r="C95" s="1511"/>
      <c r="D95" s="1511"/>
      <c r="E95" s="1511"/>
      <c r="F95" s="1511"/>
      <c r="G95" s="1511"/>
      <c r="H95" s="1514"/>
      <c r="I95" s="1514"/>
      <c r="J95" s="76"/>
      <c r="K95" s="77"/>
      <c r="L95" s="77"/>
      <c r="M95" s="78"/>
      <c r="N95" s="74" t="s">
        <v>284</v>
      </c>
      <c r="O95" s="74" t="s">
        <v>285</v>
      </c>
      <c r="P95" s="75" t="s">
        <v>676</v>
      </c>
      <c r="Q95" s="75" t="s">
        <v>3073</v>
      </c>
    </row>
    <row r="96" spans="1:17" ht="30" x14ac:dyDescent="0.25">
      <c r="A96" s="1511"/>
      <c r="B96" s="1511"/>
      <c r="C96" s="1511"/>
      <c r="D96" s="1511"/>
      <c r="E96" s="1511"/>
      <c r="F96" s="1511"/>
      <c r="G96" s="1511"/>
      <c r="H96" s="1514"/>
      <c r="I96" s="1514"/>
      <c r="J96" s="76"/>
      <c r="K96" s="77"/>
      <c r="L96" s="77"/>
      <c r="M96" s="78"/>
      <c r="N96" s="74" t="s">
        <v>144</v>
      </c>
      <c r="O96" s="74" t="s">
        <v>145</v>
      </c>
      <c r="P96" s="75" t="s">
        <v>2720</v>
      </c>
      <c r="Q96" s="75" t="s">
        <v>3074</v>
      </c>
    </row>
    <row r="97" spans="1:17" ht="30" x14ac:dyDescent="0.25">
      <c r="A97" s="1512"/>
      <c r="B97" s="1512"/>
      <c r="C97" s="1512"/>
      <c r="D97" s="1512"/>
      <c r="E97" s="1512"/>
      <c r="F97" s="1512"/>
      <c r="G97" s="1512"/>
      <c r="H97" s="1515"/>
      <c r="I97" s="1515"/>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510">
        <v>50</v>
      </c>
      <c r="B101" s="1510" t="s">
        <v>3079</v>
      </c>
      <c r="C101" s="1510" t="s">
        <v>3080</v>
      </c>
      <c r="D101" s="1510" t="s">
        <v>3081</v>
      </c>
      <c r="E101" s="1510" t="s">
        <v>3082</v>
      </c>
      <c r="F101" s="1510" t="s">
        <v>3091</v>
      </c>
      <c r="G101" s="1510" t="s">
        <v>3092</v>
      </c>
      <c r="H101" s="1513" t="s">
        <v>707</v>
      </c>
      <c r="I101" s="1513" t="s">
        <v>707</v>
      </c>
      <c r="J101" s="74" t="s">
        <v>3093</v>
      </c>
      <c r="K101" s="74" t="s">
        <v>3094</v>
      </c>
      <c r="L101" s="75">
        <v>20</v>
      </c>
      <c r="M101" s="75">
        <v>0</v>
      </c>
      <c r="N101" s="74" t="s">
        <v>389</v>
      </c>
      <c r="O101" s="74" t="s">
        <v>390</v>
      </c>
      <c r="P101" s="75" t="s">
        <v>680</v>
      </c>
      <c r="Q101" s="75" t="s">
        <v>680</v>
      </c>
    </row>
    <row r="102" spans="1:17" ht="45" x14ac:dyDescent="0.25">
      <c r="A102" s="1511"/>
      <c r="B102" s="1511"/>
      <c r="C102" s="1511"/>
      <c r="D102" s="1511"/>
      <c r="E102" s="1511"/>
      <c r="F102" s="1511"/>
      <c r="G102" s="1511"/>
      <c r="H102" s="1514"/>
      <c r="I102" s="1514"/>
      <c r="J102" s="76"/>
      <c r="K102" s="77"/>
      <c r="L102" s="77"/>
      <c r="M102" s="78"/>
      <c r="N102" s="74" t="s">
        <v>156</v>
      </c>
      <c r="O102" s="74" t="s">
        <v>157</v>
      </c>
      <c r="P102" s="75" t="s">
        <v>747</v>
      </c>
      <c r="Q102" s="75">
        <v>0</v>
      </c>
    </row>
    <row r="103" spans="1:17" ht="30" x14ac:dyDescent="0.25">
      <c r="A103" s="1512"/>
      <c r="B103" s="1512"/>
      <c r="C103" s="1512"/>
      <c r="D103" s="1512"/>
      <c r="E103" s="1512"/>
      <c r="F103" s="1512"/>
      <c r="G103" s="1512"/>
      <c r="H103" s="1515"/>
      <c r="I103" s="1515"/>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510">
        <v>53</v>
      </c>
      <c r="B106" s="1510" t="s">
        <v>3095</v>
      </c>
      <c r="C106" s="1510" t="s">
        <v>3096</v>
      </c>
      <c r="D106" s="1510" t="s">
        <v>3097</v>
      </c>
      <c r="E106" s="1510" t="s">
        <v>3098</v>
      </c>
      <c r="F106" s="1510" t="s">
        <v>3099</v>
      </c>
      <c r="G106" s="1510" t="s">
        <v>3103</v>
      </c>
      <c r="H106" s="1513" t="s">
        <v>707</v>
      </c>
      <c r="I106" s="1513" t="s">
        <v>707</v>
      </c>
      <c r="J106" s="74" t="s">
        <v>3104</v>
      </c>
      <c r="K106" s="74" t="s">
        <v>3105</v>
      </c>
      <c r="L106" s="75">
        <v>5</v>
      </c>
      <c r="M106" s="75">
        <v>0</v>
      </c>
      <c r="N106" s="74" t="s">
        <v>24</v>
      </c>
      <c r="O106" s="74" t="s">
        <v>25</v>
      </c>
      <c r="P106" s="75" t="s">
        <v>707</v>
      </c>
      <c r="Q106" s="75" t="s">
        <v>707</v>
      </c>
    </row>
    <row r="107" spans="1:17" x14ac:dyDescent="0.25">
      <c r="A107" s="1511"/>
      <c r="B107" s="1511"/>
      <c r="C107" s="1511"/>
      <c r="D107" s="1511"/>
      <c r="E107" s="1511"/>
      <c r="F107" s="1511"/>
      <c r="G107" s="1511"/>
      <c r="H107" s="1514"/>
      <c r="I107" s="1514"/>
      <c r="J107" s="74"/>
      <c r="K107" s="74"/>
      <c r="L107" s="75">
        <v>0</v>
      </c>
      <c r="M107" s="75">
        <v>0</v>
      </c>
      <c r="N107" s="76"/>
      <c r="O107" s="77"/>
      <c r="P107" s="77"/>
      <c r="Q107" s="78"/>
    </row>
    <row r="108" spans="1:17" x14ac:dyDescent="0.25">
      <c r="A108" s="1512"/>
      <c r="B108" s="1512"/>
      <c r="C108" s="1512"/>
      <c r="D108" s="1512"/>
      <c r="E108" s="1512"/>
      <c r="F108" s="1512"/>
      <c r="G108" s="1512"/>
      <c r="H108" s="1515"/>
      <c r="I108" s="1515"/>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20" t="s">
        <v>622</v>
      </c>
      <c r="B113" s="1521"/>
      <c r="C113" s="1521"/>
      <c r="D113" s="1521"/>
      <c r="E113" s="1521"/>
      <c r="F113" s="1521"/>
      <c r="G113" s="1522"/>
      <c r="H113" s="75" t="s">
        <v>3129</v>
      </c>
      <c r="I113" s="75" t="s">
        <v>3130</v>
      </c>
      <c r="J113" s="1523"/>
      <c r="K113" s="1524"/>
      <c r="L113" s="1524"/>
      <c r="M113" s="1525"/>
      <c r="N113" s="84"/>
      <c r="O113" s="85"/>
      <c r="P113" s="86" t="s">
        <v>3131</v>
      </c>
      <c r="Q113" s="87" t="s">
        <v>3132</v>
      </c>
    </row>
  </sheetData>
  <mergeCells count="120">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A48:A54"/>
    <mergeCell ref="B48:B54"/>
    <mergeCell ref="C48:C54"/>
    <mergeCell ref="D48:D54"/>
    <mergeCell ref="E48:E54"/>
    <mergeCell ref="F48:F54"/>
    <mergeCell ref="G48:G54"/>
    <mergeCell ref="H48:H54"/>
    <mergeCell ref="I48:I54"/>
    <mergeCell ref="A28:A37"/>
    <mergeCell ref="B28:B37"/>
    <mergeCell ref="C28:C37"/>
    <mergeCell ref="D28:D37"/>
    <mergeCell ref="E28:E37"/>
    <mergeCell ref="F28:F37"/>
    <mergeCell ref="G28:G37"/>
    <mergeCell ref="H28:H37"/>
    <mergeCell ref="I28:I37"/>
    <mergeCell ref="A23:A25"/>
    <mergeCell ref="B23:B25"/>
    <mergeCell ref="C23:C25"/>
    <mergeCell ref="D23:D25"/>
    <mergeCell ref="E23:E25"/>
    <mergeCell ref="F23:F25"/>
    <mergeCell ref="G23:G25"/>
    <mergeCell ref="H23:H25"/>
    <mergeCell ref="I23:I25"/>
    <mergeCell ref="A19:A20"/>
    <mergeCell ref="B19:B20"/>
    <mergeCell ref="C19:C20"/>
    <mergeCell ref="D19:D20"/>
    <mergeCell ref="E19:E20"/>
    <mergeCell ref="F19:F20"/>
    <mergeCell ref="G19:G20"/>
    <mergeCell ref="H19:H20"/>
    <mergeCell ref="I19:I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419" t="s">
        <v>3339</v>
      </c>
      <c r="B1" s="1419"/>
      <c r="C1" s="1419"/>
      <c r="D1" s="1419"/>
      <c r="E1" s="1419"/>
      <c r="F1" s="1532" t="s">
        <v>3388</v>
      </c>
      <c r="G1" s="1532"/>
    </row>
    <row r="2" spans="1:7" x14ac:dyDescent="0.25">
      <c r="A2" s="1201" t="s">
        <v>461</v>
      </c>
      <c r="B2" s="1201"/>
      <c r="C2" s="1201"/>
      <c r="D2" s="1201"/>
      <c r="E2" s="1426" t="s">
        <v>447</v>
      </c>
      <c r="F2" s="1532"/>
      <c r="G2" s="1532"/>
    </row>
    <row r="3" spans="1:7" x14ac:dyDescent="0.25">
      <c r="A3" s="194" t="s">
        <v>1</v>
      </c>
      <c r="B3" s="194" t="s">
        <v>2</v>
      </c>
      <c r="C3" s="194" t="s">
        <v>460</v>
      </c>
      <c r="D3" s="194" t="s">
        <v>462</v>
      </c>
      <c r="E3" s="1426"/>
      <c r="F3" s="1532"/>
      <c r="G3" s="1532"/>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31" t="s">
        <v>622</v>
      </c>
      <c r="B117" s="1390"/>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29" t="s">
        <v>3309</v>
      </c>
      <c r="F127" s="1530"/>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F217"/>
  <sheetViews>
    <sheetView tabSelected="1" topLeftCell="C156" zoomScaleNormal="100" zoomScalePageLayoutView="50" workbookViewId="0">
      <selection activeCell="C168" sqref="C168"/>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customWidth="1"/>
    <col min="27" max="28" width="13.42578125" customWidth="1"/>
    <col min="29" max="29" width="14.42578125" customWidth="1"/>
    <col min="30" max="30" width="12.7109375" customWidth="1"/>
    <col min="31" max="31" width="13.7109375" customWidth="1"/>
    <col min="32" max="32" width="14.7109375" customWidth="1"/>
    <col min="33" max="33" width="12.85546875" customWidth="1"/>
    <col min="34" max="34" width="11.85546875" customWidth="1"/>
    <col min="35" max="35" width="11.42578125" customWidth="1"/>
    <col min="36" max="36" width="10.7109375" customWidth="1"/>
    <col min="37" max="37" width="12.42578125" customWidth="1"/>
    <col min="38" max="38" width="13.5703125" customWidth="1"/>
    <col min="39" max="39" width="14.42578125" customWidth="1"/>
    <col min="40" max="40" width="14.140625" customWidth="1"/>
    <col min="41" max="41" width="12.5703125" customWidth="1"/>
    <col min="42" max="42" width="14" customWidth="1"/>
    <col min="43" max="43" width="12.28515625" customWidth="1"/>
    <col min="44" max="44" width="12" customWidth="1"/>
    <col min="45" max="45" width="14.42578125" customWidth="1"/>
    <col min="46" max="46" width="1.140625" customWidth="1"/>
    <col min="47" max="47" width="11.85546875" customWidth="1"/>
    <col min="48" max="48" width="14.42578125" customWidth="1"/>
    <col min="49" max="49" width="15.5703125" customWidth="1"/>
    <col min="50" max="51" width="13.5703125" customWidth="1"/>
    <col min="52" max="52" width="14" customWidth="1"/>
    <col min="53" max="53" width="17.28515625" customWidth="1"/>
    <col min="54" max="54" width="16.140625" customWidth="1"/>
    <col min="55" max="56" width="15" customWidth="1"/>
    <col min="57" max="57" width="11.7109375" customWidth="1"/>
    <col min="58" max="58" width="13.28515625" customWidth="1"/>
    <col min="59" max="59" width="12.5703125" customWidth="1"/>
    <col min="60" max="60" width="14.42578125" customWidth="1"/>
    <col min="61" max="61" width="14.140625" customWidth="1"/>
    <col min="62" max="62" width="13.28515625" customWidth="1"/>
    <col min="63" max="63" width="13.5703125" customWidth="1"/>
    <col min="64" max="64" width="13.42578125" customWidth="1"/>
    <col min="65" max="65" width="17.7109375" customWidth="1"/>
    <col min="66" max="66" width="14.85546875" customWidth="1"/>
    <col min="67" max="67" width="15.5703125" customWidth="1"/>
    <col min="68" max="68" width="13.85546875" customWidth="1"/>
    <col min="69" max="69" width="9.5703125" customWidth="1"/>
    <col min="70" max="70" width="14.28515625" customWidth="1"/>
    <col min="71" max="71" width="15.85546875" customWidth="1"/>
    <col min="72" max="73" width="14" customWidth="1"/>
    <col min="74" max="74" width="15.140625" customWidth="1"/>
    <col min="75" max="75" width="16.5703125" customWidth="1"/>
    <col min="76" max="76" width="13.5703125" customWidth="1"/>
    <col min="77" max="78" width="13.85546875" customWidth="1"/>
    <col min="79" max="80" width="12.28515625" customWidth="1"/>
    <col min="81" max="81" width="11.140625" customWidth="1"/>
    <col min="82" max="82" width="12.5703125" customWidth="1"/>
    <col min="83" max="83" width="13.5703125" customWidth="1"/>
    <col min="84" max="84" width="15.140625" customWidth="1"/>
    <col min="85" max="85" width="13.85546875" customWidth="1"/>
    <col min="86" max="86" width="15" customWidth="1"/>
    <col min="87" max="87" width="13.42578125" customWidth="1"/>
    <col min="88" max="88" width="13.5703125" customWidth="1"/>
    <col min="89" max="89" width="13.7109375" customWidth="1"/>
    <col min="90" max="90" width="14" customWidth="1"/>
    <col min="91" max="91" width="9" customWidth="1"/>
    <col min="92" max="92" width="14" customWidth="1"/>
    <col min="93" max="93" width="14.42578125" customWidth="1"/>
    <col min="94" max="95" width="12.28515625" customWidth="1"/>
    <col min="96" max="96" width="13.28515625" customWidth="1"/>
    <col min="97" max="97" width="14" customWidth="1"/>
    <col min="98" max="98" width="15.42578125" customWidth="1"/>
    <col min="99" max="99" width="15.28515625" customWidth="1"/>
    <col min="100" max="100" width="12.42578125" customWidth="1"/>
    <col min="101" max="101" width="11.7109375" customWidth="1"/>
    <col min="102" max="102" width="13.42578125" customWidth="1"/>
    <col min="103" max="103" width="11.42578125" customWidth="1"/>
    <col min="104" max="104" width="15.7109375" customWidth="1"/>
    <col min="105" max="105" width="16.28515625" customWidth="1"/>
    <col min="106" max="106" width="16.5703125" customWidth="1"/>
    <col min="107" max="107" width="17.140625" customWidth="1"/>
    <col min="108" max="108" width="13" customWidth="1"/>
    <col min="109" max="109" width="14.28515625" customWidth="1"/>
    <col min="110" max="110" width="13.7109375" customWidth="1"/>
    <col min="111" max="111" width="12.28515625" customWidth="1"/>
    <col min="112" max="112" width="13.42578125" customWidth="1"/>
    <col min="113" max="113" width="9.7109375" customWidth="1"/>
    <col min="114" max="114" width="15" customWidth="1"/>
    <col min="115" max="115" width="16" customWidth="1"/>
    <col min="116" max="117" width="13.7109375" customWidth="1"/>
    <col min="118" max="118" width="14.42578125" customWidth="1"/>
    <col min="119" max="119" width="15.5703125" customWidth="1"/>
    <col min="120" max="122" width="13.5703125" customWidth="1"/>
    <col min="123" max="124" width="13.85546875" customWidth="1"/>
    <col min="125" max="125" width="11.42578125" customWidth="1"/>
    <col min="126" max="126" width="13.7109375" customWidth="1"/>
    <col min="127" max="127" width="13.85546875" customWidth="1"/>
    <col min="128" max="128" width="12.28515625" customWidth="1"/>
    <col min="129" max="129" width="13.85546875" customWidth="1"/>
    <col min="130" max="130" width="16.5703125" customWidth="1"/>
    <col min="131" max="131" width="14.42578125" customWidth="1"/>
    <col min="132" max="133" width="14.85546875" customWidth="1"/>
    <col min="134" max="134" width="13.5703125" customWidth="1"/>
    <col min="135" max="136" width="11.42578125" customWidth="1"/>
  </cols>
  <sheetData>
    <row r="1" spans="1:134" ht="18" customHeight="1" x14ac:dyDescent="0.3">
      <c r="C1" s="1420"/>
      <c r="D1" s="1421"/>
      <c r="E1" s="1421"/>
      <c r="F1" s="1422"/>
      <c r="G1" s="1100"/>
      <c r="H1" s="1100"/>
      <c r="I1" s="1100"/>
      <c r="J1" s="1100"/>
      <c r="K1" s="1100"/>
      <c r="L1" s="1100"/>
      <c r="M1" s="1073"/>
      <c r="N1" s="1073"/>
      <c r="O1" s="1073"/>
      <c r="P1" s="1100"/>
      <c r="Q1" s="1100"/>
      <c r="R1" s="1100"/>
      <c r="S1" s="1100"/>
      <c r="T1" s="1100"/>
      <c r="U1" s="1100"/>
      <c r="V1" s="1100"/>
      <c r="W1" s="1100"/>
      <c r="X1" s="1100"/>
      <c r="Y1" s="1423" t="s">
        <v>4296</v>
      </c>
      <c r="Z1" s="1539"/>
      <c r="AA1" s="1539"/>
      <c r="AB1" s="1539"/>
      <c r="AC1" s="1539"/>
      <c r="AD1" s="1539"/>
      <c r="AE1" s="1539"/>
      <c r="AF1" s="1539"/>
      <c r="AG1" s="1539"/>
      <c r="AH1" s="1539"/>
      <c r="AI1" s="1539"/>
      <c r="AJ1" s="1539"/>
      <c r="AK1" s="1539"/>
      <c r="AL1" s="1539"/>
      <c r="AM1" s="1539"/>
      <c r="AN1" s="1539"/>
      <c r="AO1" s="1539"/>
      <c r="AP1" s="1539"/>
      <c r="AQ1" s="1539"/>
      <c r="AR1" s="1539"/>
      <c r="AS1" s="1540"/>
      <c r="AU1" s="970"/>
      <c r="AV1" s="1541" t="s">
        <v>3404</v>
      </c>
      <c r="AW1" s="1542"/>
      <c r="AX1" s="1542"/>
      <c r="AY1" s="1542"/>
      <c r="AZ1" s="1542"/>
      <c r="BA1" s="1542"/>
      <c r="BB1" s="1542"/>
      <c r="BC1" s="1542"/>
      <c r="BD1" s="1542"/>
      <c r="BE1" s="1542"/>
      <c r="BF1" s="1542"/>
      <c r="BG1" s="1542"/>
      <c r="BH1" s="1542"/>
      <c r="BI1" s="1542"/>
      <c r="BJ1" s="1542"/>
      <c r="BK1" s="1542"/>
      <c r="BL1" s="1542"/>
      <c r="BM1" s="1542"/>
      <c r="BN1" s="1542"/>
      <c r="BO1" s="1542"/>
      <c r="BP1" s="1543"/>
      <c r="BQ1" s="974"/>
      <c r="BR1" s="975"/>
      <c r="BS1" s="1014"/>
      <c r="BT1" s="1415" t="s">
        <v>3400</v>
      </c>
      <c r="BU1" s="1416"/>
      <c r="BV1" s="1416"/>
      <c r="BW1" s="1416"/>
      <c r="BX1" s="1416"/>
      <c r="BY1" s="1416"/>
      <c r="BZ1" s="1416"/>
      <c r="CA1" s="1416"/>
      <c r="CB1" s="1416"/>
      <c r="CC1" s="1416"/>
      <c r="CD1" s="1416"/>
      <c r="CE1" s="1416"/>
      <c r="CF1" s="1416"/>
      <c r="CG1" s="1416"/>
      <c r="CH1" s="1416"/>
      <c r="CI1" s="1416"/>
      <c r="CJ1" s="1416"/>
      <c r="CK1" s="1416"/>
      <c r="CL1" s="1416"/>
      <c r="CM1" s="1538"/>
      <c r="CN1" s="1415" t="s">
        <v>3403</v>
      </c>
      <c r="CO1" s="1416"/>
      <c r="CP1" s="1416"/>
      <c r="CQ1" s="1416"/>
      <c r="CR1" s="1416"/>
      <c r="CS1" s="1416"/>
      <c r="CT1" s="1416"/>
      <c r="CU1" s="1416"/>
      <c r="CV1" s="1416"/>
      <c r="CW1" s="1416"/>
      <c r="CX1" s="1416"/>
      <c r="CY1" s="1416"/>
      <c r="CZ1" s="1416"/>
      <c r="DA1" s="1416"/>
      <c r="DB1" s="1416"/>
      <c r="DC1" s="1416"/>
      <c r="DD1" s="1416"/>
      <c r="DE1" s="1416"/>
      <c r="DF1" s="1416"/>
      <c r="DG1" s="1416"/>
      <c r="DH1" s="1538"/>
      <c r="DI1" s="974"/>
      <c r="DJ1" s="1415" t="s">
        <v>3400</v>
      </c>
      <c r="DK1" s="1416"/>
      <c r="DL1" s="1416"/>
      <c r="DM1" s="1416"/>
      <c r="DN1" s="1416"/>
      <c r="DO1" s="1416"/>
      <c r="DP1" s="1416"/>
      <c r="DQ1" s="1416"/>
      <c r="DR1" s="1416"/>
      <c r="DS1" s="1416"/>
      <c r="DT1" s="1416"/>
      <c r="DU1" s="1416"/>
      <c r="DV1" s="1416"/>
      <c r="DW1" s="1416"/>
      <c r="DX1" s="1416"/>
      <c r="DY1" s="1416"/>
      <c r="DZ1" s="1416"/>
      <c r="EA1" s="1416"/>
      <c r="EB1" s="1416"/>
      <c r="EC1" s="1416"/>
      <c r="ED1" s="1416"/>
    </row>
    <row r="2" spans="1:134" ht="15.6" customHeight="1" x14ac:dyDescent="0.25">
      <c r="A2" s="1568" t="s">
        <v>4747</v>
      </c>
      <c r="B2" s="1566" t="s">
        <v>3139</v>
      </c>
      <c r="C2" s="1569" t="s">
        <v>1</v>
      </c>
      <c r="D2" s="1568" t="s">
        <v>4174</v>
      </c>
      <c r="E2" s="1571" t="s">
        <v>447</v>
      </c>
      <c r="F2" s="1566" t="s">
        <v>3347</v>
      </c>
      <c r="G2" s="1062"/>
      <c r="H2" s="1062"/>
      <c r="I2" s="1062"/>
      <c r="J2" s="1062"/>
      <c r="K2" s="1062"/>
      <c r="L2" s="1062"/>
      <c r="M2" s="1574" t="s">
        <v>4821</v>
      </c>
      <c r="N2" s="1574"/>
      <c r="O2" s="1574"/>
      <c r="P2" s="1574" t="s">
        <v>4822</v>
      </c>
      <c r="Q2" s="1574"/>
      <c r="R2" s="1574"/>
      <c r="S2" s="1574" t="s">
        <v>4823</v>
      </c>
      <c r="T2" s="1574"/>
      <c r="U2" s="1574"/>
      <c r="V2" s="1574" t="s">
        <v>4824</v>
      </c>
      <c r="W2" s="1574"/>
      <c r="X2" s="1574"/>
      <c r="Y2" s="1427" t="s">
        <v>3333</v>
      </c>
      <c r="Z2" s="1428"/>
      <c r="AA2" s="1428"/>
      <c r="AB2" s="1428"/>
      <c r="AC2" s="1428"/>
      <c r="AD2" s="1428"/>
      <c r="AE2" s="1428"/>
      <c r="AF2" s="1428"/>
      <c r="AG2" s="1428"/>
      <c r="AH2" s="1428"/>
      <c r="AI2" s="1428"/>
      <c r="AJ2" s="1428"/>
      <c r="AK2" s="1428"/>
      <c r="AL2" s="1428"/>
      <c r="AM2" s="1428"/>
      <c r="AN2" s="1428"/>
      <c r="AO2" s="1428"/>
      <c r="AP2" s="1428"/>
      <c r="AQ2" s="1428"/>
      <c r="AR2" s="1428"/>
      <c r="AS2" s="1429"/>
      <c r="AU2" s="971"/>
      <c r="AV2" s="1412" t="s">
        <v>4295</v>
      </c>
      <c r="AW2" s="1408"/>
      <c r="AX2" s="1408"/>
      <c r="AY2" s="1408"/>
      <c r="AZ2" s="1408"/>
      <c r="BA2" s="1408"/>
      <c r="BB2" s="1408"/>
      <c r="BC2" s="1408"/>
      <c r="BD2" s="1408"/>
      <c r="BE2" s="1408"/>
      <c r="BF2" s="1408"/>
      <c r="BG2" s="1408"/>
      <c r="BH2" s="1408"/>
      <c r="BI2" s="1408"/>
      <c r="BJ2" s="1408"/>
      <c r="BK2" s="1408"/>
      <c r="BL2" s="1408"/>
      <c r="BM2" s="1408"/>
      <c r="BN2" s="1408"/>
      <c r="BO2" s="1408"/>
      <c r="BP2" s="1409"/>
      <c r="BQ2" s="976"/>
      <c r="BR2" s="977"/>
      <c r="BS2" s="1015"/>
      <c r="BT2" s="1414" t="s">
        <v>3402</v>
      </c>
      <c r="BU2" s="1410"/>
      <c r="BV2" s="1410"/>
      <c r="BW2" s="1410"/>
      <c r="BX2" s="1410"/>
      <c r="BY2" s="1410"/>
      <c r="BZ2" s="1410"/>
      <c r="CA2" s="1410"/>
      <c r="CB2" s="1410"/>
      <c r="CC2" s="1411"/>
      <c r="CD2" s="1414" t="s">
        <v>3402</v>
      </c>
      <c r="CE2" s="1410"/>
      <c r="CF2" s="1410"/>
      <c r="CG2" s="1410"/>
      <c r="CH2" s="1410"/>
      <c r="CI2" s="1410"/>
      <c r="CJ2" s="1410"/>
      <c r="CK2" s="1410"/>
      <c r="CL2" s="1411"/>
      <c r="CM2" s="968"/>
      <c r="CN2" s="978"/>
      <c r="CO2" s="1016"/>
      <c r="CP2" s="1412" t="s">
        <v>3401</v>
      </c>
      <c r="CQ2" s="1408"/>
      <c r="CR2" s="1408"/>
      <c r="CS2" s="1408"/>
      <c r="CT2" s="1408"/>
      <c r="CU2" s="1408"/>
      <c r="CV2" s="1408"/>
      <c r="CW2" s="1408"/>
      <c r="CX2" s="1408"/>
      <c r="CY2" s="1408"/>
      <c r="CZ2" s="1408"/>
      <c r="DA2" s="967"/>
      <c r="DB2" s="1412" t="s">
        <v>3401</v>
      </c>
      <c r="DC2" s="1408"/>
      <c r="DD2" s="1408"/>
      <c r="DE2" s="1408"/>
      <c r="DF2" s="1408"/>
      <c r="DG2" s="1408"/>
      <c r="DH2" s="1409"/>
      <c r="DI2" s="973"/>
      <c r="DJ2" s="1414" t="s">
        <v>3402</v>
      </c>
      <c r="DK2" s="1410"/>
      <c r="DL2" s="1410"/>
      <c r="DM2" s="1410"/>
      <c r="DN2" s="1410"/>
      <c r="DO2" s="1410"/>
      <c r="DP2" s="1410"/>
      <c r="DQ2" s="1410"/>
      <c r="DR2" s="1410"/>
      <c r="DS2" s="1410"/>
      <c r="DT2" s="1410"/>
      <c r="DU2" s="1410"/>
      <c r="DV2" s="1410" t="s">
        <v>3402</v>
      </c>
      <c r="DW2" s="1410"/>
      <c r="DX2" s="1410"/>
      <c r="DY2" s="1410"/>
      <c r="DZ2" s="1410"/>
      <c r="EA2" s="1410"/>
      <c r="EB2" s="1410"/>
      <c r="EC2" s="1410"/>
      <c r="ED2" s="1411"/>
    </row>
    <row r="3" spans="1:134" ht="43.5" customHeight="1" x14ac:dyDescent="0.25">
      <c r="A3" s="1568"/>
      <c r="B3" s="1567"/>
      <c r="C3" s="1570"/>
      <c r="D3" s="1568"/>
      <c r="E3" s="1572"/>
      <c r="F3" s="1567"/>
      <c r="G3" s="1063" t="s">
        <v>4761</v>
      </c>
      <c r="H3" s="1063" t="s">
        <v>3401</v>
      </c>
      <c r="I3" s="1063" t="s">
        <v>4748</v>
      </c>
      <c r="J3" s="1063" t="s">
        <v>4749</v>
      </c>
      <c r="K3" s="1113" t="s">
        <v>4754</v>
      </c>
      <c r="L3" s="1113" t="s">
        <v>4750</v>
      </c>
      <c r="M3" s="1113" t="s">
        <v>4045</v>
      </c>
      <c r="N3" s="1113" t="s">
        <v>4048</v>
      </c>
      <c r="O3" s="1113" t="s">
        <v>4050</v>
      </c>
      <c r="P3" s="1113" t="s">
        <v>4045</v>
      </c>
      <c r="Q3" s="1113" t="s">
        <v>4048</v>
      </c>
      <c r="R3" s="1113" t="s">
        <v>4050</v>
      </c>
      <c r="S3" s="1063" t="s">
        <v>4045</v>
      </c>
      <c r="T3" s="1063" t="s">
        <v>4048</v>
      </c>
      <c r="U3" s="1063" t="s">
        <v>4050</v>
      </c>
      <c r="V3" s="1063" t="s">
        <v>4045</v>
      </c>
      <c r="W3" s="1063" t="s">
        <v>4048</v>
      </c>
      <c r="X3" s="1063" t="s">
        <v>4050</v>
      </c>
      <c r="Y3" s="1108" t="s">
        <v>695</v>
      </c>
      <c r="Z3" s="1108" t="s">
        <v>4684</v>
      </c>
      <c r="AA3" s="1108" t="s">
        <v>4307</v>
      </c>
      <c r="AB3" s="1108" t="s">
        <v>4721</v>
      </c>
      <c r="AC3" s="1001" t="s">
        <v>4297</v>
      </c>
      <c r="AD3" s="1108" t="s">
        <v>4689</v>
      </c>
      <c r="AE3" s="1108" t="s">
        <v>3310</v>
      </c>
      <c r="AF3" s="1108" t="s">
        <v>4317</v>
      </c>
      <c r="AG3" s="1108" t="s">
        <v>4687</v>
      </c>
      <c r="AH3" s="1108" t="s">
        <v>3312</v>
      </c>
      <c r="AI3" s="1108" t="s">
        <v>3313</v>
      </c>
      <c r="AJ3" s="1108" t="s">
        <v>3314</v>
      </c>
      <c r="AK3" s="1108" t="s">
        <v>3315</v>
      </c>
      <c r="AL3" s="1108" t="s">
        <v>3316</v>
      </c>
      <c r="AM3" s="1108" t="s">
        <v>3317</v>
      </c>
      <c r="AN3" s="1108" t="s">
        <v>3346</v>
      </c>
      <c r="AO3" s="1108" t="s">
        <v>4336</v>
      </c>
      <c r="AP3" s="1108" t="s">
        <v>3318</v>
      </c>
      <c r="AQ3" s="1108" t="s">
        <v>4707</v>
      </c>
      <c r="AR3" s="1108" t="s">
        <v>4294</v>
      </c>
      <c r="AS3" s="1108" t="s">
        <v>3319</v>
      </c>
      <c r="AU3" s="969" t="s">
        <v>4293</v>
      </c>
      <c r="AV3" s="965" t="s">
        <v>695</v>
      </c>
      <c r="AW3" s="965" t="s">
        <v>4684</v>
      </c>
      <c r="AX3" s="965" t="s">
        <v>4307</v>
      </c>
      <c r="AY3" s="965" t="s">
        <v>4721</v>
      </c>
      <c r="AZ3" s="965" t="s">
        <v>4297</v>
      </c>
      <c r="BA3" s="965" t="s">
        <v>4689</v>
      </c>
      <c r="BB3" s="965" t="s">
        <v>3310</v>
      </c>
      <c r="BC3" s="965" t="s">
        <v>4317</v>
      </c>
      <c r="BD3" s="965" t="s">
        <v>4687</v>
      </c>
      <c r="BE3" s="965" t="s">
        <v>3312</v>
      </c>
      <c r="BF3" s="965" t="s">
        <v>3313</v>
      </c>
      <c r="BG3" s="965" t="s">
        <v>3314</v>
      </c>
      <c r="BH3" s="965" t="s">
        <v>3315</v>
      </c>
      <c r="BI3" s="965" t="s">
        <v>3316</v>
      </c>
      <c r="BJ3" s="965" t="s">
        <v>3317</v>
      </c>
      <c r="BK3" s="965" t="s">
        <v>3346</v>
      </c>
      <c r="BL3" s="981" t="str">
        <f>+AO3</f>
        <v xml:space="preserve">EXCEDENTES  USCO </v>
      </c>
      <c r="BM3" s="965" t="s">
        <v>3318</v>
      </c>
      <c r="BN3" s="965" t="s">
        <v>4707</v>
      </c>
      <c r="BO3" s="965" t="s">
        <v>4294</v>
      </c>
      <c r="BP3" s="965" t="s">
        <v>3319</v>
      </c>
      <c r="BQ3" s="972" t="s">
        <v>4293</v>
      </c>
      <c r="BR3" s="982" t="s">
        <v>695</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 xml:space="preserve">EXCEDENTES  USCO </v>
      </c>
      <c r="CI3" s="982" t="s">
        <v>3318</v>
      </c>
      <c r="CJ3" s="982" t="s">
        <v>4707</v>
      </c>
      <c r="CK3" s="982" t="s">
        <v>4294</v>
      </c>
      <c r="CL3" s="982" t="s">
        <v>3319</v>
      </c>
      <c r="CM3" s="969" t="s">
        <v>4293</v>
      </c>
      <c r="CN3" s="965" t="s">
        <v>695</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 xml:space="preserve">EXCEDENTES  USCO </v>
      </c>
      <c r="DE3" s="965" t="s">
        <v>3318</v>
      </c>
      <c r="DF3" s="965" t="s">
        <v>4707</v>
      </c>
      <c r="DG3" s="965" t="s">
        <v>4294</v>
      </c>
      <c r="DH3" s="965" t="s">
        <v>3319</v>
      </c>
      <c r="DI3" s="972" t="s">
        <v>4293</v>
      </c>
      <c r="DJ3" s="982" t="s">
        <v>695</v>
      </c>
      <c r="DK3" s="982" t="s">
        <v>4684</v>
      </c>
      <c r="DL3" s="982" t="s">
        <v>4307</v>
      </c>
      <c r="DM3" s="982" t="s">
        <v>4721</v>
      </c>
      <c r="DN3" s="982" t="s">
        <v>4297</v>
      </c>
      <c r="DO3" s="982" t="s">
        <v>4689</v>
      </c>
      <c r="DP3" s="982" t="s">
        <v>3310</v>
      </c>
      <c r="DQ3" s="982" t="s">
        <v>4317</v>
      </c>
      <c r="DR3" s="982" t="s">
        <v>4687</v>
      </c>
      <c r="DS3" s="982" t="s">
        <v>3312</v>
      </c>
      <c r="DT3" s="982" t="s">
        <v>3313</v>
      </c>
      <c r="DU3" s="982" t="s">
        <v>3314</v>
      </c>
      <c r="DV3" s="982" t="s">
        <v>3315</v>
      </c>
      <c r="DW3" s="982" t="s">
        <v>3316</v>
      </c>
      <c r="DX3" s="982" t="s">
        <v>3317</v>
      </c>
      <c r="DY3" s="982" t="s">
        <v>3346</v>
      </c>
      <c r="DZ3" s="980" t="str">
        <f>+DD3</f>
        <v xml:space="preserve">EXCEDENTES  USCO </v>
      </c>
      <c r="EA3" s="982" t="s">
        <v>3318</v>
      </c>
      <c r="EB3" s="982" t="s">
        <v>4707</v>
      </c>
      <c r="EC3" s="982" t="s">
        <v>4294</v>
      </c>
      <c r="ED3" s="982" t="s">
        <v>3319</v>
      </c>
    </row>
    <row r="4" spans="1:134" ht="64.5" customHeight="1" x14ac:dyDescent="0.25">
      <c r="A4" s="1561" t="s">
        <v>4751</v>
      </c>
      <c r="B4" s="1018" t="s">
        <v>4298</v>
      </c>
      <c r="C4" s="1094" t="s">
        <v>4397</v>
      </c>
      <c r="D4" s="1019" t="s">
        <v>4562</v>
      </c>
      <c r="E4" s="1020">
        <v>510</v>
      </c>
      <c r="F4" s="1097" t="s">
        <v>4660</v>
      </c>
      <c r="G4" s="1399">
        <v>100000000</v>
      </c>
      <c r="H4" s="1061">
        <f t="shared" ref="H4:H33" si="0">+CN4</f>
        <v>6000000</v>
      </c>
      <c r="I4" s="1061">
        <f t="shared" ref="I4:I33" si="1">Y4-H4</f>
        <v>9000000</v>
      </c>
      <c r="J4" s="1399" t="s">
        <v>4758</v>
      </c>
      <c r="K4" s="1283" t="s">
        <v>4753</v>
      </c>
      <c r="L4" s="1283" t="s">
        <v>4759</v>
      </c>
      <c r="M4" s="1093">
        <v>14</v>
      </c>
      <c r="N4" s="1093">
        <v>43</v>
      </c>
      <c r="O4" s="1093">
        <v>6</v>
      </c>
      <c r="P4" s="1093">
        <v>0</v>
      </c>
      <c r="Q4" s="1093">
        <v>68</v>
      </c>
      <c r="R4" s="1093">
        <v>0</v>
      </c>
      <c r="S4" s="1097"/>
      <c r="T4" s="1097"/>
      <c r="U4" s="1097"/>
      <c r="V4" s="1070"/>
      <c r="W4" s="1070"/>
      <c r="X4" s="1070"/>
      <c r="Y4" s="1008">
        <f t="shared" ref="Y4:Y33" si="2">SUM(Z4:AS4)</f>
        <v>15000000</v>
      </c>
      <c r="Z4" s="1008"/>
      <c r="AA4" s="1008"/>
      <c r="AB4" s="1008"/>
      <c r="AC4" s="1008"/>
      <c r="AD4" s="1008"/>
      <c r="AE4" s="1008"/>
      <c r="AF4" s="1008"/>
      <c r="AG4" s="1008"/>
      <c r="AH4" s="1008"/>
      <c r="AI4" s="1008"/>
      <c r="AJ4" s="1008"/>
      <c r="AK4" s="1008"/>
      <c r="AL4" s="1008"/>
      <c r="AM4" s="1008">
        <v>15000000</v>
      </c>
      <c r="AN4" s="1008"/>
      <c r="AO4" s="1008"/>
      <c r="AP4" s="1008"/>
      <c r="AQ4" s="1008"/>
      <c r="AR4" s="1008"/>
      <c r="AS4" s="1008"/>
      <c r="AT4" s="983"/>
      <c r="AU4" s="1011">
        <f t="shared" ref="AU4:AU67" si="3">+AV4/Y4</f>
        <v>0.4</v>
      </c>
      <c r="AV4" s="1008">
        <f t="shared" ref="AV4:AV33" si="4">SUM(AW4:BP4)</f>
        <v>6000000</v>
      </c>
      <c r="AW4" s="1013"/>
      <c r="AX4" s="218"/>
      <c r="AY4" s="218"/>
      <c r="AZ4" s="218"/>
      <c r="BA4" s="218"/>
      <c r="BB4" s="149"/>
      <c r="BC4" s="149"/>
      <c r="BD4" s="149"/>
      <c r="BE4" s="149"/>
      <c r="BF4" s="149"/>
      <c r="BG4" s="149"/>
      <c r="BH4" s="149"/>
      <c r="BI4" s="149"/>
      <c r="BJ4" s="149">
        <f>+'[16]AGOSTO 2015'!$W$1944</f>
        <v>6000000</v>
      </c>
      <c r="BK4" s="149"/>
      <c r="BL4" s="149"/>
      <c r="BM4" s="149"/>
      <c r="BN4" s="149"/>
      <c r="BO4" s="149"/>
      <c r="BP4" s="149"/>
      <c r="BQ4" s="1011">
        <f t="shared" ref="BQ4:BQ20" si="5">1-AU4</f>
        <v>0.6</v>
      </c>
      <c r="BR4" s="1008">
        <f t="shared" ref="BR4:BR33" si="6">SUM(BS4:CL4)</f>
        <v>9000000</v>
      </c>
      <c r="BS4" s="1008">
        <f t="shared" ref="BS4:BS33" si="7">+Z4-AW4</f>
        <v>0</v>
      </c>
      <c r="BT4" s="1008">
        <f t="shared" ref="BT4:BT18" si="8">+AA4</f>
        <v>0</v>
      </c>
      <c r="BU4" s="1008"/>
      <c r="BV4" s="1008">
        <f t="shared" ref="BV4:BV33" si="9">AC4-AZ4</f>
        <v>0</v>
      </c>
      <c r="BW4" s="1008"/>
      <c r="BX4" s="1008">
        <f t="shared" ref="BX4:BY33" si="10">+AE4-BB4</f>
        <v>0</v>
      </c>
      <c r="BY4" s="1008">
        <f t="shared" si="10"/>
        <v>0</v>
      </c>
      <c r="BZ4" s="1008"/>
      <c r="CA4" s="1008">
        <f t="shared" ref="CA4:CJ19" si="11">+AH4-BE4</f>
        <v>0</v>
      </c>
      <c r="CB4" s="1008">
        <f t="shared" si="11"/>
        <v>0</v>
      </c>
      <c r="CC4" s="1008">
        <f t="shared" si="11"/>
        <v>0</v>
      </c>
      <c r="CD4" s="1008">
        <f t="shared" si="11"/>
        <v>0</v>
      </c>
      <c r="CE4" s="1008">
        <f t="shared" si="11"/>
        <v>0</v>
      </c>
      <c r="CF4" s="1008">
        <f t="shared" si="11"/>
        <v>9000000</v>
      </c>
      <c r="CG4" s="1008">
        <f t="shared" si="11"/>
        <v>0</v>
      </c>
      <c r="CH4" s="1008">
        <f t="shared" si="11"/>
        <v>0</v>
      </c>
      <c r="CI4" s="1008">
        <f t="shared" si="11"/>
        <v>0</v>
      </c>
      <c r="CJ4" s="1008">
        <f t="shared" si="11"/>
        <v>0</v>
      </c>
      <c r="CK4" s="1008"/>
      <c r="CL4" s="1008">
        <f t="shared" ref="CL4:CL33" si="12">+AS4-BP4</f>
        <v>0</v>
      </c>
      <c r="CM4" s="1011">
        <f t="shared" ref="CM4:CM67" si="13">+CN4/Y4</f>
        <v>0.4</v>
      </c>
      <c r="CN4" s="1008">
        <f t="shared" ref="CN4:CN33" si="14">SUM(CO4:DH4)</f>
        <v>6000000</v>
      </c>
      <c r="CO4" s="1008"/>
      <c r="CP4" s="1008"/>
      <c r="CQ4" s="1008"/>
      <c r="CR4" s="1008"/>
      <c r="CS4" s="1008"/>
      <c r="CT4" s="1008"/>
      <c r="CU4" s="1008"/>
      <c r="CV4" s="1008"/>
      <c r="CW4" s="1008"/>
      <c r="CX4" s="1008"/>
      <c r="CY4" s="1008"/>
      <c r="CZ4" s="1008"/>
      <c r="DA4" s="1008"/>
      <c r="DB4" s="1008">
        <f>+'[16]AGOSTO 2015'!$H$1942</f>
        <v>6000000</v>
      </c>
      <c r="DC4" s="1008"/>
      <c r="DD4" s="1008"/>
      <c r="DE4" s="1008"/>
      <c r="DF4" s="1008"/>
      <c r="DG4" s="1008"/>
      <c r="DH4" s="1008"/>
      <c r="DI4" s="1011">
        <f t="shared" ref="DI4:DI66" si="15">1-CM4</f>
        <v>0.6</v>
      </c>
      <c r="DJ4" s="1008">
        <f t="shared" ref="DJ4:DJ33" si="16">SUM(DK4:ED4)</f>
        <v>9000000</v>
      </c>
      <c r="DK4" s="1008">
        <f t="shared" ref="DK4:DL33" si="17">Z4-CO4</f>
        <v>0</v>
      </c>
      <c r="DL4" s="1008">
        <f t="shared" si="17"/>
        <v>0</v>
      </c>
      <c r="DM4" s="1008"/>
      <c r="DN4" s="1008">
        <f t="shared" ref="DN4:DQ32" si="18">AC4-CR4</f>
        <v>0</v>
      </c>
      <c r="DO4" s="1008">
        <f t="shared" si="18"/>
        <v>0</v>
      </c>
      <c r="DP4" s="1008">
        <f t="shared" si="18"/>
        <v>0</v>
      </c>
      <c r="DQ4" s="1008">
        <f t="shared" si="18"/>
        <v>0</v>
      </c>
      <c r="DR4" s="1008"/>
      <c r="DS4" s="1008">
        <f t="shared" ref="DS4:DT33" si="19">+AH4-CW4</f>
        <v>0</v>
      </c>
      <c r="DT4" s="1008">
        <f t="shared" si="19"/>
        <v>0</v>
      </c>
      <c r="DU4" s="1008"/>
      <c r="DV4" s="1008">
        <f t="shared" ref="DV4:DX33" si="20">AK4-CZ4</f>
        <v>0</v>
      </c>
      <c r="DW4" s="1008">
        <f t="shared" si="20"/>
        <v>0</v>
      </c>
      <c r="DX4" s="1008">
        <f t="shared" si="20"/>
        <v>9000000</v>
      </c>
      <c r="DY4" s="1008">
        <f t="shared" ref="DY4:EB33" si="21">+AN4-DC4</f>
        <v>0</v>
      </c>
      <c r="DZ4" s="1008">
        <f t="shared" si="21"/>
        <v>0</v>
      </c>
      <c r="EA4" s="1008">
        <f t="shared" si="21"/>
        <v>0</v>
      </c>
      <c r="EB4" s="1008">
        <f t="shared" si="21"/>
        <v>0</v>
      </c>
      <c r="EC4" s="1008"/>
      <c r="ED4" s="1008">
        <f t="shared" ref="ED4:ED33" si="22">+AS4-DH4</f>
        <v>0</v>
      </c>
    </row>
    <row r="5" spans="1:134" ht="65.25" customHeight="1" x14ac:dyDescent="0.25">
      <c r="A5" s="1562"/>
      <c r="B5" s="1021"/>
      <c r="C5" s="1094" t="s">
        <v>4557</v>
      </c>
      <c r="D5" s="1019" t="s">
        <v>4656</v>
      </c>
      <c r="E5" s="1020">
        <v>510</v>
      </c>
      <c r="F5" s="1097" t="s">
        <v>4660</v>
      </c>
      <c r="G5" s="1400"/>
      <c r="H5" s="1061">
        <f t="shared" si="0"/>
        <v>0</v>
      </c>
      <c r="I5" s="1061">
        <f t="shared" si="1"/>
        <v>10000000</v>
      </c>
      <c r="J5" s="1400"/>
      <c r="K5" s="1573"/>
      <c r="L5" s="1573"/>
      <c r="M5" s="1093">
        <v>0</v>
      </c>
      <c r="N5" s="1093">
        <v>0</v>
      </c>
      <c r="O5" s="1093">
        <v>0</v>
      </c>
      <c r="P5" s="1093">
        <v>0</v>
      </c>
      <c r="Q5" s="1093">
        <v>25</v>
      </c>
      <c r="R5" s="1093">
        <v>0</v>
      </c>
      <c r="S5" s="1097"/>
      <c r="T5" s="1097"/>
      <c r="U5" s="1097"/>
      <c r="V5" s="1097"/>
      <c r="W5" s="1097"/>
      <c r="X5" s="1097"/>
      <c r="Y5" s="1008">
        <f t="shared" si="2"/>
        <v>10000000</v>
      </c>
      <c r="Z5" s="1008"/>
      <c r="AA5" s="1008"/>
      <c r="AB5" s="1008"/>
      <c r="AC5" s="1008"/>
      <c r="AD5" s="1008"/>
      <c r="AE5" s="1008"/>
      <c r="AF5" s="1008"/>
      <c r="AG5" s="1008"/>
      <c r="AH5" s="1008"/>
      <c r="AI5" s="1008"/>
      <c r="AJ5" s="1008"/>
      <c r="AK5" s="1008"/>
      <c r="AL5" s="1008"/>
      <c r="AM5" s="1008">
        <v>10000000</v>
      </c>
      <c r="AN5" s="1008"/>
      <c r="AO5" s="1008"/>
      <c r="AP5" s="1008"/>
      <c r="AQ5" s="1008"/>
      <c r="AR5" s="1008"/>
      <c r="AS5" s="1008"/>
      <c r="AT5" s="986"/>
      <c r="AU5" s="1011">
        <f t="shared" si="3"/>
        <v>0</v>
      </c>
      <c r="AV5" s="1008">
        <f t="shared" si="4"/>
        <v>0</v>
      </c>
      <c r="AW5" s="1008"/>
      <c r="AX5" s="1008"/>
      <c r="AY5" s="1008"/>
      <c r="AZ5" s="1008"/>
      <c r="BA5" s="1008"/>
      <c r="BB5" s="1008"/>
      <c r="BC5" s="1008"/>
      <c r="BD5" s="1008"/>
      <c r="BE5" s="1008"/>
      <c r="BF5" s="1008"/>
      <c r="BG5" s="1008"/>
      <c r="BH5" s="1008"/>
      <c r="BI5" s="1008"/>
      <c r="BJ5" s="1008"/>
      <c r="BK5" s="1008"/>
      <c r="BL5" s="1008"/>
      <c r="BM5" s="1008"/>
      <c r="BN5" s="1008"/>
      <c r="BO5" s="1008"/>
      <c r="BP5" s="1008"/>
      <c r="BQ5" s="1011">
        <f t="shared" si="5"/>
        <v>1</v>
      </c>
      <c r="BR5" s="1008">
        <f t="shared" si="6"/>
        <v>10000000</v>
      </c>
      <c r="BS5" s="1008">
        <f t="shared" si="7"/>
        <v>0</v>
      </c>
      <c r="BT5" s="1008">
        <f t="shared" si="8"/>
        <v>0</v>
      </c>
      <c r="BU5" s="1008"/>
      <c r="BV5" s="1008">
        <f t="shared" si="9"/>
        <v>0</v>
      </c>
      <c r="BW5" s="1008"/>
      <c r="BX5" s="1008">
        <f t="shared" si="10"/>
        <v>0</v>
      </c>
      <c r="BY5" s="1008">
        <f t="shared" si="10"/>
        <v>0</v>
      </c>
      <c r="BZ5" s="1008"/>
      <c r="CA5" s="1008"/>
      <c r="CB5" s="1008"/>
      <c r="CC5" s="1008"/>
      <c r="CD5" s="1008">
        <f t="shared" si="11"/>
        <v>0</v>
      </c>
      <c r="CE5" s="1008">
        <f t="shared" si="11"/>
        <v>0</v>
      </c>
      <c r="CF5" s="1008">
        <f t="shared" si="11"/>
        <v>10000000</v>
      </c>
      <c r="CG5" s="1008">
        <f t="shared" si="11"/>
        <v>0</v>
      </c>
      <c r="CH5" s="1008">
        <f t="shared" si="11"/>
        <v>0</v>
      </c>
      <c r="CI5" s="1008">
        <f t="shared" si="11"/>
        <v>0</v>
      </c>
      <c r="CJ5" s="1008"/>
      <c r="CK5" s="1008"/>
      <c r="CL5" s="1008">
        <f t="shared" si="12"/>
        <v>0</v>
      </c>
      <c r="CM5" s="1011">
        <f t="shared" si="13"/>
        <v>0</v>
      </c>
      <c r="CN5" s="1008">
        <f t="shared" si="14"/>
        <v>0</v>
      </c>
      <c r="CO5" s="1008"/>
      <c r="CP5" s="1008"/>
      <c r="CQ5" s="1008"/>
      <c r="CR5" s="1008"/>
      <c r="CS5" s="1008"/>
      <c r="CT5" s="1008"/>
      <c r="CU5" s="1008"/>
      <c r="CV5" s="1008"/>
      <c r="CW5" s="1008"/>
      <c r="CX5" s="1008"/>
      <c r="CY5" s="1008"/>
      <c r="CZ5" s="1008"/>
      <c r="DA5" s="1008"/>
      <c r="DB5" s="1008"/>
      <c r="DC5" s="1008"/>
      <c r="DD5" s="1008"/>
      <c r="DE5" s="1008"/>
      <c r="DF5" s="1008"/>
      <c r="DG5" s="1008"/>
      <c r="DH5" s="1008"/>
      <c r="DI5" s="1011">
        <f t="shared" si="15"/>
        <v>1</v>
      </c>
      <c r="DJ5" s="1008">
        <f t="shared" si="16"/>
        <v>10000000</v>
      </c>
      <c r="DK5" s="1008">
        <f t="shared" si="17"/>
        <v>0</v>
      </c>
      <c r="DL5" s="1008">
        <f t="shared" si="17"/>
        <v>0</v>
      </c>
      <c r="DM5" s="1008"/>
      <c r="DN5" s="1008">
        <f t="shared" si="18"/>
        <v>0</v>
      </c>
      <c r="DO5" s="1008">
        <f t="shared" si="18"/>
        <v>0</v>
      </c>
      <c r="DP5" s="1008">
        <f t="shared" si="18"/>
        <v>0</v>
      </c>
      <c r="DQ5" s="1008">
        <f t="shared" si="18"/>
        <v>0</v>
      </c>
      <c r="DR5" s="1008"/>
      <c r="DS5" s="1008">
        <f t="shared" si="19"/>
        <v>0</v>
      </c>
      <c r="DT5" s="1008">
        <f t="shared" si="19"/>
        <v>0</v>
      </c>
      <c r="DU5" s="1008"/>
      <c r="DV5" s="1008">
        <f t="shared" si="20"/>
        <v>0</v>
      </c>
      <c r="DW5" s="1008">
        <f t="shared" si="20"/>
        <v>0</v>
      </c>
      <c r="DX5" s="1008">
        <f t="shared" si="20"/>
        <v>10000000</v>
      </c>
      <c r="DY5" s="1008">
        <f t="shared" si="21"/>
        <v>0</v>
      </c>
      <c r="DZ5" s="1008">
        <f t="shared" si="21"/>
        <v>0</v>
      </c>
      <c r="EA5" s="1008">
        <f t="shared" si="21"/>
        <v>0</v>
      </c>
      <c r="EB5" s="1008">
        <f t="shared" si="21"/>
        <v>0</v>
      </c>
      <c r="EC5" s="1008"/>
      <c r="ED5" s="1008">
        <f t="shared" si="22"/>
        <v>0</v>
      </c>
    </row>
    <row r="6" spans="1:134" ht="66.75" customHeight="1" x14ac:dyDescent="0.25">
      <c r="A6" s="1562"/>
      <c r="B6" s="1021"/>
      <c r="C6" s="1094" t="s">
        <v>4558</v>
      </c>
      <c r="D6" s="1019" t="s">
        <v>4657</v>
      </c>
      <c r="E6" s="1110">
        <v>510</v>
      </c>
      <c r="F6" s="1097" t="s">
        <v>4660</v>
      </c>
      <c r="G6" s="1400"/>
      <c r="H6" s="1061">
        <f t="shared" si="0"/>
        <v>0</v>
      </c>
      <c r="I6" s="1061">
        <f t="shared" si="1"/>
        <v>5000000</v>
      </c>
      <c r="J6" s="1400"/>
      <c r="K6" s="1573"/>
      <c r="L6" s="1573"/>
      <c r="M6" s="1093">
        <v>0</v>
      </c>
      <c r="N6" s="1093">
        <v>0</v>
      </c>
      <c r="O6" s="1093">
        <v>0</v>
      </c>
      <c r="P6" s="1093">
        <v>0</v>
      </c>
      <c r="Q6" s="1093">
        <v>25</v>
      </c>
      <c r="R6" s="1093">
        <v>0</v>
      </c>
      <c r="S6" s="1097"/>
      <c r="T6" s="1097"/>
      <c r="U6" s="1097"/>
      <c r="V6" s="1097"/>
      <c r="W6" s="1097"/>
      <c r="X6" s="1097"/>
      <c r="Y6" s="1008">
        <f t="shared" si="2"/>
        <v>5000000</v>
      </c>
      <c r="Z6" s="1008"/>
      <c r="AA6" s="1008"/>
      <c r="AB6" s="1008"/>
      <c r="AC6" s="1008"/>
      <c r="AD6" s="1008"/>
      <c r="AE6" s="1008"/>
      <c r="AF6" s="1008"/>
      <c r="AG6" s="1008"/>
      <c r="AH6" s="1008"/>
      <c r="AI6" s="1008"/>
      <c r="AJ6" s="1008"/>
      <c r="AK6" s="1008"/>
      <c r="AL6" s="1008"/>
      <c r="AM6" s="1008">
        <v>5000000</v>
      </c>
      <c r="AN6" s="1008"/>
      <c r="AO6" s="1008"/>
      <c r="AP6" s="1008"/>
      <c r="AQ6" s="1008"/>
      <c r="AR6" s="1008"/>
      <c r="AS6" s="1008"/>
      <c r="AT6" s="986"/>
      <c r="AU6" s="1011">
        <f t="shared" si="3"/>
        <v>1</v>
      </c>
      <c r="AV6" s="1008">
        <f t="shared" si="4"/>
        <v>5000000</v>
      </c>
      <c r="AW6" s="1008"/>
      <c r="AX6" s="1008"/>
      <c r="AY6" s="1008"/>
      <c r="AZ6" s="1008"/>
      <c r="BA6" s="1008"/>
      <c r="BB6" s="1008"/>
      <c r="BC6" s="1008"/>
      <c r="BD6" s="1008"/>
      <c r="BE6" s="1008"/>
      <c r="BF6" s="1008"/>
      <c r="BG6" s="1008"/>
      <c r="BH6" s="1008"/>
      <c r="BI6" s="1008"/>
      <c r="BJ6" s="1008">
        <f>+'[18]OCTUBRE 2015'!$W$2832</f>
        <v>5000000</v>
      </c>
      <c r="BK6" s="1008"/>
      <c r="BL6" s="1008"/>
      <c r="BM6" s="1008"/>
      <c r="BN6" s="1008"/>
      <c r="BO6" s="1008"/>
      <c r="BP6" s="1008"/>
      <c r="BQ6" s="1011">
        <f t="shared" si="5"/>
        <v>0</v>
      </c>
      <c r="BR6" s="1008">
        <f t="shared" si="6"/>
        <v>0</v>
      </c>
      <c r="BS6" s="1008">
        <f t="shared" si="7"/>
        <v>0</v>
      </c>
      <c r="BT6" s="1008">
        <f t="shared" si="8"/>
        <v>0</v>
      </c>
      <c r="BU6" s="1008"/>
      <c r="BV6" s="1008">
        <f t="shared" si="9"/>
        <v>0</v>
      </c>
      <c r="BW6" s="1008"/>
      <c r="BX6" s="1008">
        <f t="shared" si="10"/>
        <v>0</v>
      </c>
      <c r="BY6" s="1008">
        <f t="shared" si="10"/>
        <v>0</v>
      </c>
      <c r="BZ6" s="1008"/>
      <c r="CA6" s="1008"/>
      <c r="CB6" s="1008"/>
      <c r="CC6" s="1008"/>
      <c r="CD6" s="1008">
        <f t="shared" si="11"/>
        <v>0</v>
      </c>
      <c r="CE6" s="1008">
        <f t="shared" si="11"/>
        <v>0</v>
      </c>
      <c r="CF6" s="1008">
        <f t="shared" si="11"/>
        <v>0</v>
      </c>
      <c r="CG6" s="1008">
        <f t="shared" si="11"/>
        <v>0</v>
      </c>
      <c r="CH6" s="1008">
        <f t="shared" si="11"/>
        <v>0</v>
      </c>
      <c r="CI6" s="1008">
        <f t="shared" si="11"/>
        <v>0</v>
      </c>
      <c r="CJ6" s="1008"/>
      <c r="CK6" s="1008"/>
      <c r="CL6" s="1008">
        <f t="shared" si="12"/>
        <v>0</v>
      </c>
      <c r="CM6" s="1011">
        <f t="shared" si="13"/>
        <v>0</v>
      </c>
      <c r="CN6" s="1008">
        <f t="shared" si="14"/>
        <v>0</v>
      </c>
      <c r="CO6" s="1008"/>
      <c r="CP6" s="1008"/>
      <c r="CQ6" s="1008"/>
      <c r="CR6" s="1008"/>
      <c r="CS6" s="1008"/>
      <c r="CT6" s="1008"/>
      <c r="CU6" s="1008"/>
      <c r="CV6" s="1008"/>
      <c r="CW6" s="1008"/>
      <c r="CX6" s="1008"/>
      <c r="CY6" s="1008"/>
      <c r="CZ6" s="1008"/>
      <c r="DA6" s="1008"/>
      <c r="DB6" s="1008"/>
      <c r="DC6" s="1008"/>
      <c r="DD6" s="1008"/>
      <c r="DE6" s="1008"/>
      <c r="DF6" s="1008"/>
      <c r="DG6" s="1008"/>
      <c r="DH6" s="1008"/>
      <c r="DI6" s="1011">
        <f t="shared" si="15"/>
        <v>1</v>
      </c>
      <c r="DJ6" s="1008">
        <f t="shared" si="16"/>
        <v>5000000</v>
      </c>
      <c r="DK6" s="1008">
        <f t="shared" si="17"/>
        <v>0</v>
      </c>
      <c r="DL6" s="1008">
        <f t="shared" si="17"/>
        <v>0</v>
      </c>
      <c r="DM6" s="1008"/>
      <c r="DN6" s="1008">
        <f t="shared" si="18"/>
        <v>0</v>
      </c>
      <c r="DO6" s="1008">
        <f t="shared" si="18"/>
        <v>0</v>
      </c>
      <c r="DP6" s="1008">
        <f t="shared" si="18"/>
        <v>0</v>
      </c>
      <c r="DQ6" s="1008">
        <f t="shared" si="18"/>
        <v>0</v>
      </c>
      <c r="DR6" s="1008"/>
      <c r="DS6" s="1008">
        <f t="shared" si="19"/>
        <v>0</v>
      </c>
      <c r="DT6" s="1008">
        <f t="shared" si="19"/>
        <v>0</v>
      </c>
      <c r="DU6" s="1008"/>
      <c r="DV6" s="1008">
        <f t="shared" si="20"/>
        <v>0</v>
      </c>
      <c r="DW6" s="1008">
        <f t="shared" si="20"/>
        <v>0</v>
      </c>
      <c r="DX6" s="1008">
        <f t="shared" si="20"/>
        <v>5000000</v>
      </c>
      <c r="DY6" s="1008">
        <f t="shared" si="21"/>
        <v>0</v>
      </c>
      <c r="DZ6" s="1008">
        <f t="shared" si="21"/>
        <v>0</v>
      </c>
      <c r="EA6" s="1008">
        <f t="shared" si="21"/>
        <v>0</v>
      </c>
      <c r="EB6" s="1008">
        <f t="shared" si="21"/>
        <v>0</v>
      </c>
      <c r="EC6" s="1008"/>
      <c r="ED6" s="1008">
        <f t="shared" si="22"/>
        <v>0</v>
      </c>
    </row>
    <row r="7" spans="1:134" ht="50.25" customHeight="1" x14ac:dyDescent="0.25">
      <c r="A7" s="1562"/>
      <c r="B7" s="1022"/>
      <c r="C7" s="1094" t="s">
        <v>4559</v>
      </c>
      <c r="D7" s="1019" t="s">
        <v>4658</v>
      </c>
      <c r="E7" s="1023">
        <v>510</v>
      </c>
      <c r="F7" s="1097" t="s">
        <v>4660</v>
      </c>
      <c r="G7" s="1400"/>
      <c r="H7" s="1061">
        <f t="shared" si="0"/>
        <v>10507037</v>
      </c>
      <c r="I7" s="1061">
        <f t="shared" si="1"/>
        <v>24492963</v>
      </c>
      <c r="J7" s="1400"/>
      <c r="K7" s="1573"/>
      <c r="L7" s="1573"/>
      <c r="M7" s="1093">
        <v>0</v>
      </c>
      <c r="N7" s="1093">
        <v>0</v>
      </c>
      <c r="O7" s="1093">
        <v>0</v>
      </c>
      <c r="P7" s="1093">
        <v>0</v>
      </c>
      <c r="Q7" s="1093">
        <v>25</v>
      </c>
      <c r="R7" s="1093">
        <v>0</v>
      </c>
      <c r="S7" s="1097"/>
      <c r="T7" s="1097"/>
      <c r="U7" s="1097"/>
      <c r="V7" s="1097"/>
      <c r="W7" s="1097"/>
      <c r="X7" s="1097"/>
      <c r="Y7" s="1008">
        <f t="shared" si="2"/>
        <v>35000000</v>
      </c>
      <c r="Z7" s="1008"/>
      <c r="AA7" s="1008"/>
      <c r="AB7" s="1008"/>
      <c r="AC7" s="1008"/>
      <c r="AD7" s="1008"/>
      <c r="AE7" s="1008"/>
      <c r="AF7" s="1008"/>
      <c r="AG7" s="1008"/>
      <c r="AH7" s="1008"/>
      <c r="AI7" s="1008"/>
      <c r="AJ7" s="1008"/>
      <c r="AK7" s="1008"/>
      <c r="AL7" s="1008"/>
      <c r="AM7" s="1067">
        <f>10000000+25000000</f>
        <v>35000000</v>
      </c>
      <c r="AN7" s="1008"/>
      <c r="AO7" s="1008"/>
      <c r="AP7" s="1008"/>
      <c r="AQ7" s="1008"/>
      <c r="AR7" s="1008"/>
      <c r="AS7" s="1008"/>
      <c r="AT7" s="986"/>
      <c r="AU7" s="1011">
        <f t="shared" si="3"/>
        <v>0.55086391428571424</v>
      </c>
      <c r="AV7" s="1008">
        <f t="shared" si="4"/>
        <v>19280237</v>
      </c>
      <c r="AW7" s="1008"/>
      <c r="AX7" s="1008"/>
      <c r="AY7" s="1008"/>
      <c r="AZ7" s="1008"/>
      <c r="BA7" s="1008"/>
      <c r="BB7" s="1008"/>
      <c r="BC7" s="1008"/>
      <c r="BD7" s="1008"/>
      <c r="BE7" s="1008"/>
      <c r="BF7" s="1008"/>
      <c r="BG7" s="1008"/>
      <c r="BH7" s="1008"/>
      <c r="BI7" s="1008"/>
      <c r="BJ7" s="1008">
        <f>+'[18]OCTUBRE 2015'!$W$2838</f>
        <v>19280237</v>
      </c>
      <c r="BK7" s="1008"/>
      <c r="BL7" s="1008"/>
      <c r="BM7" s="1008"/>
      <c r="BN7" s="1008"/>
      <c r="BO7" s="1008"/>
      <c r="BP7" s="1008"/>
      <c r="BQ7" s="1011">
        <f t="shared" si="5"/>
        <v>0.44913608571428576</v>
      </c>
      <c r="BR7" s="1008">
        <f t="shared" si="6"/>
        <v>15719763</v>
      </c>
      <c r="BS7" s="1008">
        <f t="shared" si="7"/>
        <v>0</v>
      </c>
      <c r="BT7" s="1008">
        <f t="shared" si="8"/>
        <v>0</v>
      </c>
      <c r="BU7" s="1008"/>
      <c r="BV7" s="1008">
        <f t="shared" si="9"/>
        <v>0</v>
      </c>
      <c r="BW7" s="1008"/>
      <c r="BX7" s="1008">
        <f t="shared" si="10"/>
        <v>0</v>
      </c>
      <c r="BY7" s="1008">
        <f t="shared" si="10"/>
        <v>0</v>
      </c>
      <c r="BZ7" s="1008"/>
      <c r="CA7" s="1008"/>
      <c r="CB7" s="1008"/>
      <c r="CC7" s="1008"/>
      <c r="CD7" s="1008">
        <f t="shared" si="11"/>
        <v>0</v>
      </c>
      <c r="CE7" s="1008">
        <f t="shared" si="11"/>
        <v>0</v>
      </c>
      <c r="CF7" s="1008">
        <f t="shared" si="11"/>
        <v>15719763</v>
      </c>
      <c r="CG7" s="1008">
        <f t="shared" si="11"/>
        <v>0</v>
      </c>
      <c r="CH7" s="1008">
        <f t="shared" si="11"/>
        <v>0</v>
      </c>
      <c r="CI7" s="1008">
        <f t="shared" si="11"/>
        <v>0</v>
      </c>
      <c r="CJ7" s="1008"/>
      <c r="CK7" s="1008"/>
      <c r="CL7" s="1008">
        <f t="shared" si="12"/>
        <v>0</v>
      </c>
      <c r="CM7" s="1011">
        <f t="shared" si="13"/>
        <v>0.30020105714285716</v>
      </c>
      <c r="CN7" s="1008">
        <f t="shared" si="14"/>
        <v>10507037</v>
      </c>
      <c r="CO7" s="1008"/>
      <c r="CP7" s="1008"/>
      <c r="CQ7" s="1008"/>
      <c r="CR7" s="1008"/>
      <c r="CS7" s="1008"/>
      <c r="CT7" s="1008"/>
      <c r="CU7" s="1008"/>
      <c r="CV7" s="1008"/>
      <c r="CW7" s="1008"/>
      <c r="CX7" s="1008"/>
      <c r="CY7" s="1008"/>
      <c r="CZ7" s="1008"/>
      <c r="DA7" s="1008"/>
      <c r="DB7" s="1008">
        <f>+'[18]OCTUBRE 2015'!$H$2836</f>
        <v>10507037</v>
      </c>
      <c r="DC7" s="1008"/>
      <c r="DD7" s="1008"/>
      <c r="DE7" s="1008"/>
      <c r="DF7" s="1008"/>
      <c r="DG7" s="1008"/>
      <c r="DH7" s="1008"/>
      <c r="DI7" s="1011">
        <f t="shared" si="15"/>
        <v>0.69979894285714284</v>
      </c>
      <c r="DJ7" s="1008">
        <f t="shared" si="16"/>
        <v>24492963</v>
      </c>
      <c r="DK7" s="1008">
        <f t="shared" si="17"/>
        <v>0</v>
      </c>
      <c r="DL7" s="1008">
        <f t="shared" si="17"/>
        <v>0</v>
      </c>
      <c r="DM7" s="1008"/>
      <c r="DN7" s="1008">
        <f t="shared" si="18"/>
        <v>0</v>
      </c>
      <c r="DO7" s="1008">
        <f t="shared" si="18"/>
        <v>0</v>
      </c>
      <c r="DP7" s="1008">
        <f t="shared" si="18"/>
        <v>0</v>
      </c>
      <c r="DQ7" s="1008">
        <f t="shared" si="18"/>
        <v>0</v>
      </c>
      <c r="DR7" s="1008"/>
      <c r="DS7" s="1008">
        <f t="shared" si="19"/>
        <v>0</v>
      </c>
      <c r="DT7" s="1008">
        <f t="shared" si="19"/>
        <v>0</v>
      </c>
      <c r="DU7" s="1008"/>
      <c r="DV7" s="1008">
        <f t="shared" si="20"/>
        <v>0</v>
      </c>
      <c r="DW7" s="1008">
        <f t="shared" si="20"/>
        <v>0</v>
      </c>
      <c r="DX7" s="1008">
        <f t="shared" si="20"/>
        <v>24492963</v>
      </c>
      <c r="DY7" s="1008">
        <f t="shared" si="21"/>
        <v>0</v>
      </c>
      <c r="DZ7" s="1008">
        <f t="shared" si="21"/>
        <v>0</v>
      </c>
      <c r="EA7" s="1008">
        <f t="shared" si="21"/>
        <v>0</v>
      </c>
      <c r="EB7" s="1008">
        <f t="shared" si="21"/>
        <v>0</v>
      </c>
      <c r="EC7" s="1008"/>
      <c r="ED7" s="1008">
        <f t="shared" si="22"/>
        <v>0</v>
      </c>
    </row>
    <row r="8" spans="1:134" ht="110.25" customHeight="1" x14ac:dyDescent="0.25">
      <c r="A8" s="1562"/>
      <c r="B8" s="1021"/>
      <c r="C8" s="1094" t="s">
        <v>4560</v>
      </c>
      <c r="D8" s="1019" t="s">
        <v>4659</v>
      </c>
      <c r="E8" s="1111">
        <v>510</v>
      </c>
      <c r="F8" s="1097" t="s">
        <v>4660</v>
      </c>
      <c r="G8" s="1400"/>
      <c r="H8" s="1061">
        <f t="shared" si="0"/>
        <v>0</v>
      </c>
      <c r="I8" s="1061">
        <f t="shared" si="1"/>
        <v>0</v>
      </c>
      <c r="J8" s="1400"/>
      <c r="K8" s="1573"/>
      <c r="L8" s="1573"/>
      <c r="M8" s="1093">
        <v>0</v>
      </c>
      <c r="N8" s="1093">
        <v>0</v>
      </c>
      <c r="O8" s="1093">
        <v>0</v>
      </c>
      <c r="P8" s="1093">
        <v>0</v>
      </c>
      <c r="Q8" s="1093">
        <v>25</v>
      </c>
      <c r="R8" s="1093">
        <v>0</v>
      </c>
      <c r="S8" s="1097"/>
      <c r="T8" s="1097"/>
      <c r="U8" s="1097"/>
      <c r="V8" s="1097"/>
      <c r="W8" s="1097"/>
      <c r="X8" s="1097"/>
      <c r="Y8" s="1008">
        <f t="shared" si="2"/>
        <v>0</v>
      </c>
      <c r="Z8" s="1008"/>
      <c r="AA8" s="1008"/>
      <c r="AB8" s="1008"/>
      <c r="AC8" s="1008"/>
      <c r="AD8" s="1008"/>
      <c r="AE8" s="1008"/>
      <c r="AF8" s="1008"/>
      <c r="AG8" s="1008"/>
      <c r="AH8" s="1008"/>
      <c r="AI8" s="1008"/>
      <c r="AJ8" s="1008"/>
      <c r="AK8" s="1008"/>
      <c r="AL8" s="1008"/>
      <c r="AM8" s="1067">
        <f>25000000-25000000</f>
        <v>0</v>
      </c>
      <c r="AN8" s="1008"/>
      <c r="AO8" s="1008"/>
      <c r="AP8" s="1008"/>
      <c r="AQ8" s="1008"/>
      <c r="AR8" s="1008"/>
      <c r="AS8" s="1008"/>
      <c r="AT8" s="986"/>
      <c r="AU8" s="1011" t="e">
        <f t="shared" si="3"/>
        <v>#DIV/0!</v>
      </c>
      <c r="AV8" s="1008">
        <f t="shared" si="4"/>
        <v>0</v>
      </c>
      <c r="AW8" s="1008"/>
      <c r="AX8" s="1008"/>
      <c r="AY8" s="1008"/>
      <c r="AZ8" s="1008"/>
      <c r="BA8" s="1008"/>
      <c r="BB8" s="1008"/>
      <c r="BC8" s="1008"/>
      <c r="BD8" s="1008"/>
      <c r="BE8" s="1008"/>
      <c r="BF8" s="1008"/>
      <c r="BG8" s="1008"/>
      <c r="BH8" s="1008"/>
      <c r="BI8" s="1008"/>
      <c r="BJ8" s="1008"/>
      <c r="BK8" s="1008"/>
      <c r="BL8" s="1008"/>
      <c r="BM8" s="1008"/>
      <c r="BN8" s="1008"/>
      <c r="BO8" s="1008"/>
      <c r="BP8" s="1008"/>
      <c r="BQ8" s="1011" t="e">
        <f t="shared" si="5"/>
        <v>#DIV/0!</v>
      </c>
      <c r="BR8" s="1008">
        <f t="shared" si="6"/>
        <v>0</v>
      </c>
      <c r="BS8" s="1008">
        <f t="shared" si="7"/>
        <v>0</v>
      </c>
      <c r="BT8" s="1008">
        <f t="shared" si="8"/>
        <v>0</v>
      </c>
      <c r="BU8" s="1008"/>
      <c r="BV8" s="1008">
        <f t="shared" si="9"/>
        <v>0</v>
      </c>
      <c r="BW8" s="1008"/>
      <c r="BX8" s="1008">
        <f t="shared" si="10"/>
        <v>0</v>
      </c>
      <c r="BY8" s="1008">
        <f t="shared" si="10"/>
        <v>0</v>
      </c>
      <c r="BZ8" s="1008"/>
      <c r="CA8" s="1008"/>
      <c r="CB8" s="1008"/>
      <c r="CC8" s="1008"/>
      <c r="CD8" s="1008">
        <f t="shared" si="11"/>
        <v>0</v>
      </c>
      <c r="CE8" s="1008">
        <f t="shared" si="11"/>
        <v>0</v>
      </c>
      <c r="CF8" s="1008">
        <f t="shared" si="11"/>
        <v>0</v>
      </c>
      <c r="CG8" s="1008">
        <f t="shared" si="11"/>
        <v>0</v>
      </c>
      <c r="CH8" s="1008">
        <f t="shared" si="11"/>
        <v>0</v>
      </c>
      <c r="CI8" s="1008">
        <f t="shared" si="11"/>
        <v>0</v>
      </c>
      <c r="CJ8" s="1008"/>
      <c r="CK8" s="1008"/>
      <c r="CL8" s="1008">
        <f t="shared" si="12"/>
        <v>0</v>
      </c>
      <c r="CM8" s="1011" t="e">
        <f t="shared" si="13"/>
        <v>#DIV/0!</v>
      </c>
      <c r="CN8" s="1008">
        <f t="shared" si="14"/>
        <v>0</v>
      </c>
      <c r="CO8" s="1008"/>
      <c r="CP8" s="1008"/>
      <c r="CQ8" s="1008"/>
      <c r="CR8" s="1008"/>
      <c r="CS8" s="1008"/>
      <c r="CT8" s="1008"/>
      <c r="CU8" s="1008"/>
      <c r="CV8" s="1008"/>
      <c r="CW8" s="1008"/>
      <c r="CX8" s="1008"/>
      <c r="CY8" s="1008"/>
      <c r="CZ8" s="1008"/>
      <c r="DA8" s="1008"/>
      <c r="DB8" s="1008"/>
      <c r="DC8" s="1008"/>
      <c r="DD8" s="1008"/>
      <c r="DE8" s="1008"/>
      <c r="DF8" s="1008"/>
      <c r="DG8" s="1008"/>
      <c r="DH8" s="1008"/>
      <c r="DI8" s="1011" t="e">
        <f t="shared" si="15"/>
        <v>#DIV/0!</v>
      </c>
      <c r="DJ8" s="1008">
        <f t="shared" si="16"/>
        <v>0</v>
      </c>
      <c r="DK8" s="1008">
        <f t="shared" si="17"/>
        <v>0</v>
      </c>
      <c r="DL8" s="1008">
        <f t="shared" si="17"/>
        <v>0</v>
      </c>
      <c r="DM8" s="1008"/>
      <c r="DN8" s="1008">
        <f t="shared" si="18"/>
        <v>0</v>
      </c>
      <c r="DO8" s="1008">
        <f t="shared" si="18"/>
        <v>0</v>
      </c>
      <c r="DP8" s="1008">
        <f t="shared" si="18"/>
        <v>0</v>
      </c>
      <c r="DQ8" s="1008">
        <f t="shared" si="18"/>
        <v>0</v>
      </c>
      <c r="DR8" s="1008"/>
      <c r="DS8" s="1008">
        <f t="shared" si="19"/>
        <v>0</v>
      </c>
      <c r="DT8" s="1008">
        <f t="shared" si="19"/>
        <v>0</v>
      </c>
      <c r="DU8" s="1008"/>
      <c r="DV8" s="1008">
        <f t="shared" si="20"/>
        <v>0</v>
      </c>
      <c r="DW8" s="1008">
        <f t="shared" si="20"/>
        <v>0</v>
      </c>
      <c r="DX8" s="1008">
        <f t="shared" si="20"/>
        <v>0</v>
      </c>
      <c r="DY8" s="1008">
        <f t="shared" si="21"/>
        <v>0</v>
      </c>
      <c r="DZ8" s="1008">
        <f t="shared" si="21"/>
        <v>0</v>
      </c>
      <c r="EA8" s="1008">
        <f t="shared" si="21"/>
        <v>0</v>
      </c>
      <c r="EB8" s="1008">
        <f t="shared" si="21"/>
        <v>0</v>
      </c>
      <c r="EC8" s="1008"/>
      <c r="ED8" s="1008">
        <f t="shared" si="22"/>
        <v>0</v>
      </c>
    </row>
    <row r="9" spans="1:134" ht="47.25" customHeight="1" x14ac:dyDescent="0.25">
      <c r="A9" s="1562"/>
      <c r="B9" s="1021"/>
      <c r="C9" s="1094" t="s">
        <v>4561</v>
      </c>
      <c r="D9" s="1019" t="s">
        <v>4662</v>
      </c>
      <c r="E9" s="1020">
        <v>510</v>
      </c>
      <c r="F9" s="1097" t="s">
        <v>4660</v>
      </c>
      <c r="G9" s="1401"/>
      <c r="H9" s="1061">
        <f t="shared" si="0"/>
        <v>34542493</v>
      </c>
      <c r="I9" s="1061">
        <f t="shared" si="1"/>
        <v>457507</v>
      </c>
      <c r="J9" s="1401"/>
      <c r="K9" s="1284"/>
      <c r="L9" s="1284"/>
      <c r="M9" s="1093">
        <v>0</v>
      </c>
      <c r="N9" s="1093">
        <v>0</v>
      </c>
      <c r="O9" s="1093">
        <v>0</v>
      </c>
      <c r="P9" s="1093">
        <v>42</v>
      </c>
      <c r="Q9" s="1093">
        <v>25</v>
      </c>
      <c r="R9" s="1093">
        <v>11</v>
      </c>
      <c r="S9" s="1097"/>
      <c r="T9" s="1097"/>
      <c r="U9" s="1097"/>
      <c r="V9" s="1097"/>
      <c r="W9" s="1097"/>
      <c r="X9" s="1097"/>
      <c r="Y9" s="1008">
        <f t="shared" si="2"/>
        <v>35000000</v>
      </c>
      <c r="Z9" s="1008"/>
      <c r="AA9" s="1008"/>
      <c r="AB9" s="1008"/>
      <c r="AC9" s="1008"/>
      <c r="AD9" s="1008"/>
      <c r="AE9" s="1008"/>
      <c r="AF9" s="1008"/>
      <c r="AG9" s="1008"/>
      <c r="AH9" s="1008"/>
      <c r="AI9" s="1008"/>
      <c r="AJ9" s="1008"/>
      <c r="AK9" s="1008"/>
      <c r="AL9" s="1008"/>
      <c r="AM9" s="1067">
        <f>35000000</f>
        <v>35000000</v>
      </c>
      <c r="AN9" s="1008"/>
      <c r="AO9" s="1008"/>
      <c r="AP9" s="1008"/>
      <c r="AQ9" s="1008"/>
      <c r="AR9" s="1008"/>
      <c r="AS9" s="1008"/>
      <c r="AT9" s="986"/>
      <c r="AU9" s="1011">
        <f t="shared" si="3"/>
        <v>0.98692837142857148</v>
      </c>
      <c r="AV9" s="1008">
        <f t="shared" si="4"/>
        <v>34542493</v>
      </c>
      <c r="AW9" s="1008"/>
      <c r="AX9" s="1008"/>
      <c r="AY9" s="1008"/>
      <c r="AZ9" s="1008"/>
      <c r="BA9" s="1008"/>
      <c r="BB9" s="1008"/>
      <c r="BC9" s="1008"/>
      <c r="BD9" s="1008"/>
      <c r="BE9" s="1008"/>
      <c r="BF9" s="1008"/>
      <c r="BG9" s="1008"/>
      <c r="BH9" s="1008"/>
      <c r="BI9" s="1008"/>
      <c r="BJ9" s="1008">
        <f>+'[17]SEPTIEMBRE 2015'!$W$2458</f>
        <v>34542493</v>
      </c>
      <c r="BK9" s="1008"/>
      <c r="BL9" s="1008"/>
      <c r="BM9" s="1008"/>
      <c r="BN9" s="1008"/>
      <c r="BO9" s="1008"/>
      <c r="BP9" s="1008"/>
      <c r="BQ9" s="1011">
        <f t="shared" si="5"/>
        <v>1.3071628571428517E-2</v>
      </c>
      <c r="BR9" s="1008">
        <f t="shared" si="6"/>
        <v>457507</v>
      </c>
      <c r="BS9" s="1008">
        <f t="shared" si="7"/>
        <v>0</v>
      </c>
      <c r="BT9" s="1008">
        <f t="shared" si="8"/>
        <v>0</v>
      </c>
      <c r="BU9" s="1008"/>
      <c r="BV9" s="1008">
        <f t="shared" si="9"/>
        <v>0</v>
      </c>
      <c r="BW9" s="1008"/>
      <c r="BX9" s="1008">
        <f t="shared" si="10"/>
        <v>0</v>
      </c>
      <c r="BY9" s="1008">
        <f t="shared" si="10"/>
        <v>0</v>
      </c>
      <c r="BZ9" s="1008"/>
      <c r="CA9" s="1008"/>
      <c r="CB9" s="1008"/>
      <c r="CC9" s="1008"/>
      <c r="CD9" s="1008">
        <f t="shared" si="11"/>
        <v>0</v>
      </c>
      <c r="CE9" s="1008">
        <f t="shared" si="11"/>
        <v>0</v>
      </c>
      <c r="CF9" s="1008">
        <f t="shared" si="11"/>
        <v>457507</v>
      </c>
      <c r="CG9" s="1008">
        <f t="shared" si="11"/>
        <v>0</v>
      </c>
      <c r="CH9" s="1008">
        <f t="shared" si="11"/>
        <v>0</v>
      </c>
      <c r="CI9" s="1008">
        <f t="shared" si="11"/>
        <v>0</v>
      </c>
      <c r="CJ9" s="1008"/>
      <c r="CK9" s="1008"/>
      <c r="CL9" s="1008">
        <f t="shared" si="12"/>
        <v>0</v>
      </c>
      <c r="CM9" s="1011">
        <f t="shared" si="13"/>
        <v>0.98692837142857148</v>
      </c>
      <c r="CN9" s="1008">
        <f t="shared" si="14"/>
        <v>34542493</v>
      </c>
      <c r="CO9" s="1008"/>
      <c r="CP9" s="1008"/>
      <c r="CQ9" s="1008"/>
      <c r="CR9" s="1008"/>
      <c r="CS9" s="1008"/>
      <c r="CT9" s="1008"/>
      <c r="CU9" s="1008"/>
      <c r="CV9" s="1008"/>
      <c r="CW9" s="1008"/>
      <c r="CX9" s="1008"/>
      <c r="CY9" s="1008"/>
      <c r="CZ9" s="1008"/>
      <c r="DA9" s="1008"/>
      <c r="DB9" s="1008">
        <f>+'[17]SEPTIEMBRE 2015'!$H$2456</f>
        <v>34542493</v>
      </c>
      <c r="DC9" s="1008"/>
      <c r="DD9" s="1008"/>
      <c r="DE9" s="1008"/>
      <c r="DF9" s="1008"/>
      <c r="DG9" s="1008"/>
      <c r="DH9" s="1008"/>
      <c r="DI9" s="1011">
        <f t="shared" si="15"/>
        <v>1.3071628571428517E-2</v>
      </c>
      <c r="DJ9" s="1008">
        <f t="shared" si="16"/>
        <v>457507</v>
      </c>
      <c r="DK9" s="1008">
        <f t="shared" si="17"/>
        <v>0</v>
      </c>
      <c r="DL9" s="1008">
        <f t="shared" si="17"/>
        <v>0</v>
      </c>
      <c r="DM9" s="1008"/>
      <c r="DN9" s="1008">
        <f t="shared" si="18"/>
        <v>0</v>
      </c>
      <c r="DO9" s="1008">
        <f t="shared" si="18"/>
        <v>0</v>
      </c>
      <c r="DP9" s="1008">
        <f t="shared" si="18"/>
        <v>0</v>
      </c>
      <c r="DQ9" s="1008">
        <f t="shared" si="18"/>
        <v>0</v>
      </c>
      <c r="DR9" s="1008"/>
      <c r="DS9" s="1008">
        <f t="shared" si="19"/>
        <v>0</v>
      </c>
      <c r="DT9" s="1008">
        <f t="shared" si="19"/>
        <v>0</v>
      </c>
      <c r="DU9" s="1008"/>
      <c r="DV9" s="1008">
        <f t="shared" si="20"/>
        <v>0</v>
      </c>
      <c r="DW9" s="1008">
        <f t="shared" si="20"/>
        <v>0</v>
      </c>
      <c r="DX9" s="1008">
        <f t="shared" si="20"/>
        <v>457507</v>
      </c>
      <c r="DY9" s="1008">
        <f t="shared" si="21"/>
        <v>0</v>
      </c>
      <c r="DZ9" s="1008">
        <f t="shared" si="21"/>
        <v>0</v>
      </c>
      <c r="EA9" s="1008">
        <f t="shared" si="21"/>
        <v>0</v>
      </c>
      <c r="EB9" s="1008">
        <f t="shared" si="21"/>
        <v>0</v>
      </c>
      <c r="EC9" s="1008"/>
      <c r="ED9" s="1008">
        <f t="shared" si="22"/>
        <v>0</v>
      </c>
    </row>
    <row r="10" spans="1:134" ht="51.75" customHeight="1" x14ac:dyDescent="0.25">
      <c r="A10" s="1562"/>
      <c r="B10" s="1021" t="s">
        <v>4299</v>
      </c>
      <c r="C10" s="1094" t="s">
        <v>4398</v>
      </c>
      <c r="D10" s="1019" t="s">
        <v>4300</v>
      </c>
      <c r="E10" s="1020">
        <v>510</v>
      </c>
      <c r="F10" s="1097" t="s">
        <v>4727</v>
      </c>
      <c r="G10" s="1399">
        <v>95000000</v>
      </c>
      <c r="H10" s="1061">
        <f t="shared" si="0"/>
        <v>11958400</v>
      </c>
      <c r="I10" s="1061">
        <f t="shared" si="1"/>
        <v>7041600</v>
      </c>
      <c r="J10" s="1399" t="s">
        <v>4752</v>
      </c>
      <c r="K10" s="1283" t="s">
        <v>4762</v>
      </c>
      <c r="L10" s="1283" t="s">
        <v>4752</v>
      </c>
      <c r="M10" s="1093">
        <v>0</v>
      </c>
      <c r="N10" s="1093">
        <v>0</v>
      </c>
      <c r="O10" s="1093">
        <v>0</v>
      </c>
      <c r="P10" s="1093">
        <v>0</v>
      </c>
      <c r="Q10" s="1093">
        <v>0</v>
      </c>
      <c r="R10" s="1093">
        <v>0</v>
      </c>
      <c r="S10" s="1097"/>
      <c r="T10" s="1097"/>
      <c r="U10" s="1097"/>
      <c r="V10" s="1097"/>
      <c r="W10" s="1097"/>
      <c r="X10" s="1097"/>
      <c r="Y10" s="1008">
        <f t="shared" si="2"/>
        <v>19000000</v>
      </c>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f>5000000+10000000+4000000</f>
        <v>19000000</v>
      </c>
      <c r="AU10" s="1011">
        <f t="shared" si="3"/>
        <v>0.89473684210526316</v>
      </c>
      <c r="AV10" s="1008">
        <f t="shared" si="4"/>
        <v>17000000</v>
      </c>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f>+'[17]SEPTIEMBRE 2015'!$AD$2472</f>
        <v>17000000</v>
      </c>
      <c r="BQ10" s="1011">
        <f t="shared" si="5"/>
        <v>0.10526315789473684</v>
      </c>
      <c r="BR10" s="1008">
        <f t="shared" si="6"/>
        <v>2000000</v>
      </c>
      <c r="BS10" s="1008">
        <f t="shared" si="7"/>
        <v>0</v>
      </c>
      <c r="BT10" s="1008">
        <f t="shared" si="8"/>
        <v>0</v>
      </c>
      <c r="BU10" s="1008"/>
      <c r="BV10" s="1008">
        <f t="shared" si="9"/>
        <v>0</v>
      </c>
      <c r="BW10" s="1008"/>
      <c r="BX10" s="1008">
        <f t="shared" si="10"/>
        <v>0</v>
      </c>
      <c r="BY10" s="1008">
        <f t="shared" si="10"/>
        <v>0</v>
      </c>
      <c r="BZ10" s="1008"/>
      <c r="CA10" s="1008">
        <f>+AH10-BE10</f>
        <v>0</v>
      </c>
      <c r="CB10" s="1008">
        <f>+AI10-BF10</f>
        <v>0</v>
      </c>
      <c r="CC10" s="1008">
        <f>+AJ10-BG10</f>
        <v>0</v>
      </c>
      <c r="CD10" s="1008">
        <f t="shared" si="11"/>
        <v>0</v>
      </c>
      <c r="CE10" s="1008">
        <f t="shared" si="11"/>
        <v>0</v>
      </c>
      <c r="CF10" s="1008">
        <f t="shared" si="11"/>
        <v>0</v>
      </c>
      <c r="CG10" s="1008">
        <f t="shared" si="11"/>
        <v>0</v>
      </c>
      <c r="CH10" s="1008">
        <f t="shared" si="11"/>
        <v>0</v>
      </c>
      <c r="CI10" s="1008">
        <f t="shared" si="11"/>
        <v>0</v>
      </c>
      <c r="CJ10" s="1008"/>
      <c r="CK10" s="1008"/>
      <c r="CL10" s="1008">
        <f t="shared" si="12"/>
        <v>2000000</v>
      </c>
      <c r="CM10" s="1011">
        <f t="shared" si="13"/>
        <v>0.6293894736842105</v>
      </c>
      <c r="CN10" s="1008">
        <f t="shared" si="14"/>
        <v>11958400</v>
      </c>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f>+'[18]OCTUBRE 2015'!$H$2870</f>
        <v>11958400</v>
      </c>
      <c r="DI10" s="1011">
        <f t="shared" si="15"/>
        <v>0.3706105263157895</v>
      </c>
      <c r="DJ10" s="1008">
        <f t="shared" si="16"/>
        <v>7041600</v>
      </c>
      <c r="DK10" s="1008">
        <f t="shared" si="17"/>
        <v>0</v>
      </c>
      <c r="DL10" s="1008">
        <f t="shared" si="17"/>
        <v>0</v>
      </c>
      <c r="DM10" s="1008"/>
      <c r="DN10" s="1008">
        <f t="shared" si="18"/>
        <v>0</v>
      </c>
      <c r="DO10" s="1008">
        <f t="shared" si="18"/>
        <v>0</v>
      </c>
      <c r="DP10" s="1008">
        <f t="shared" si="18"/>
        <v>0</v>
      </c>
      <c r="DQ10" s="1008">
        <f t="shared" si="18"/>
        <v>0</v>
      </c>
      <c r="DR10" s="1008"/>
      <c r="DS10" s="1008">
        <f t="shared" si="19"/>
        <v>0</v>
      </c>
      <c r="DT10" s="1008">
        <f t="shared" si="19"/>
        <v>0</v>
      </c>
      <c r="DU10" s="1008"/>
      <c r="DV10" s="1008">
        <f t="shared" si="20"/>
        <v>0</v>
      </c>
      <c r="DW10" s="1008">
        <f t="shared" si="20"/>
        <v>0</v>
      </c>
      <c r="DX10" s="1008">
        <f t="shared" si="20"/>
        <v>0</v>
      </c>
      <c r="DY10" s="1008">
        <f t="shared" si="21"/>
        <v>0</v>
      </c>
      <c r="DZ10" s="1008">
        <f t="shared" si="21"/>
        <v>0</v>
      </c>
      <c r="EA10" s="1008">
        <f t="shared" si="21"/>
        <v>0</v>
      </c>
      <c r="EB10" s="1008">
        <f t="shared" si="21"/>
        <v>0</v>
      </c>
      <c r="EC10" s="1008"/>
      <c r="ED10" s="1008">
        <f t="shared" si="22"/>
        <v>7041600</v>
      </c>
    </row>
    <row r="11" spans="1:134" ht="48.75" customHeight="1" x14ac:dyDescent="0.25">
      <c r="A11" s="1562"/>
      <c r="B11" s="1021"/>
      <c r="C11" s="1094" t="s">
        <v>4592</v>
      </c>
      <c r="D11" s="1019" t="s">
        <v>4563</v>
      </c>
      <c r="E11" s="1020">
        <v>510</v>
      </c>
      <c r="F11" s="1097" t="s">
        <v>4660</v>
      </c>
      <c r="G11" s="1400"/>
      <c r="H11" s="1061">
        <f t="shared" si="0"/>
        <v>5190868</v>
      </c>
      <c r="I11" s="1061">
        <f t="shared" si="1"/>
        <v>9809132</v>
      </c>
      <c r="J11" s="1400"/>
      <c r="K11" s="1573"/>
      <c r="L11" s="1573"/>
      <c r="M11" s="1093">
        <v>0</v>
      </c>
      <c r="N11" s="1093">
        <v>0</v>
      </c>
      <c r="O11" s="1093">
        <v>0</v>
      </c>
      <c r="P11" s="1093">
        <v>0</v>
      </c>
      <c r="Q11" s="1093">
        <v>0</v>
      </c>
      <c r="R11" s="1093">
        <v>0</v>
      </c>
      <c r="S11" s="1097"/>
      <c r="T11" s="1097"/>
      <c r="U11" s="1097"/>
      <c r="V11" s="1097"/>
      <c r="W11" s="1097"/>
      <c r="X11" s="1097"/>
      <c r="Y11" s="1008">
        <f t="shared" si="2"/>
        <v>15000000</v>
      </c>
      <c r="Z11" s="1008"/>
      <c r="AA11" s="1008"/>
      <c r="AB11" s="1008"/>
      <c r="AC11" s="1008"/>
      <c r="AD11" s="1008"/>
      <c r="AE11" s="1008">
        <f>30000000-15000000</f>
        <v>15000000</v>
      </c>
      <c r="AF11" s="1008"/>
      <c r="AG11" s="1008"/>
      <c r="AH11" s="1008"/>
      <c r="AI11" s="1008"/>
      <c r="AJ11" s="1008"/>
      <c r="AK11" s="1008"/>
      <c r="AL11" s="1008"/>
      <c r="AM11" s="1008"/>
      <c r="AN11" s="1008"/>
      <c r="AO11" s="1008"/>
      <c r="AP11" s="1008"/>
      <c r="AQ11" s="1008"/>
      <c r="AR11" s="1008"/>
      <c r="AS11" s="1008"/>
      <c r="AU11" s="1011">
        <f t="shared" si="3"/>
        <v>0.34650226666666667</v>
      </c>
      <c r="AV11" s="1008">
        <f t="shared" si="4"/>
        <v>5197534</v>
      </c>
      <c r="AW11" s="1008"/>
      <c r="AX11" s="1008"/>
      <c r="AY11" s="1008"/>
      <c r="AZ11" s="1008"/>
      <c r="BA11" s="1008"/>
      <c r="BB11" s="1008">
        <f>+'[18]OCTUBRE 2015'!$O$2886</f>
        <v>5197534</v>
      </c>
      <c r="BC11" s="1008"/>
      <c r="BD11" s="1008"/>
      <c r="BE11" s="1008"/>
      <c r="BF11" s="1008"/>
      <c r="BG11" s="1008"/>
      <c r="BH11" s="1008"/>
      <c r="BI11" s="1008"/>
      <c r="BJ11" s="1008"/>
      <c r="BK11" s="1008"/>
      <c r="BL11" s="1008"/>
      <c r="BM11" s="1008"/>
      <c r="BN11" s="1008"/>
      <c r="BO11" s="1008"/>
      <c r="BP11" s="1008"/>
      <c r="BQ11" s="1011">
        <f t="shared" si="5"/>
        <v>0.65349773333333339</v>
      </c>
      <c r="BR11" s="1008">
        <f t="shared" si="6"/>
        <v>9802466</v>
      </c>
      <c r="BS11" s="1008">
        <f t="shared" si="7"/>
        <v>0</v>
      </c>
      <c r="BT11" s="1008">
        <f t="shared" si="8"/>
        <v>0</v>
      </c>
      <c r="BU11" s="1008"/>
      <c r="BV11" s="1008">
        <f t="shared" si="9"/>
        <v>0</v>
      </c>
      <c r="BW11" s="1008"/>
      <c r="BX11" s="1008">
        <f t="shared" si="10"/>
        <v>9802466</v>
      </c>
      <c r="BY11" s="1008">
        <f t="shared" si="10"/>
        <v>0</v>
      </c>
      <c r="BZ11" s="1008"/>
      <c r="CA11" s="1008"/>
      <c r="CB11" s="1008"/>
      <c r="CC11" s="1008"/>
      <c r="CD11" s="1008">
        <f t="shared" si="11"/>
        <v>0</v>
      </c>
      <c r="CE11" s="1008">
        <f t="shared" si="11"/>
        <v>0</v>
      </c>
      <c r="CF11" s="1008">
        <f t="shared" si="11"/>
        <v>0</v>
      </c>
      <c r="CG11" s="1008">
        <f t="shared" si="11"/>
        <v>0</v>
      </c>
      <c r="CH11" s="1008">
        <f t="shared" si="11"/>
        <v>0</v>
      </c>
      <c r="CI11" s="1008">
        <f t="shared" si="11"/>
        <v>0</v>
      </c>
      <c r="CJ11" s="1008"/>
      <c r="CK11" s="1008"/>
      <c r="CL11" s="1008">
        <f t="shared" si="12"/>
        <v>0</v>
      </c>
      <c r="CM11" s="1011">
        <f t="shared" si="13"/>
        <v>0.34605786666666666</v>
      </c>
      <c r="CN11" s="1008">
        <f t="shared" si="14"/>
        <v>5190868</v>
      </c>
      <c r="CO11" s="1008"/>
      <c r="CP11" s="1008"/>
      <c r="CQ11" s="1008"/>
      <c r="CR11" s="1008"/>
      <c r="CS11" s="1008"/>
      <c r="CT11" s="1008">
        <f>+'[18]OCTUBRE 2015'!$H$2884</f>
        <v>5190868</v>
      </c>
      <c r="CU11" s="1008"/>
      <c r="CV11" s="1008"/>
      <c r="CW11" s="1008"/>
      <c r="CX11" s="1008"/>
      <c r="CY11" s="1008"/>
      <c r="CZ11" s="1008"/>
      <c r="DA11" s="1008"/>
      <c r="DB11" s="1008"/>
      <c r="DC11" s="1008"/>
      <c r="DD11" s="1008"/>
      <c r="DE11" s="1008"/>
      <c r="DF11" s="1008"/>
      <c r="DG11" s="1008"/>
      <c r="DH11" s="1008"/>
      <c r="DI11" s="1011">
        <f t="shared" si="15"/>
        <v>0.65394213333333329</v>
      </c>
      <c r="DJ11" s="1008">
        <f t="shared" si="16"/>
        <v>9809132</v>
      </c>
      <c r="DK11" s="1008">
        <f t="shared" si="17"/>
        <v>0</v>
      </c>
      <c r="DL11" s="1008">
        <f t="shared" si="17"/>
        <v>0</v>
      </c>
      <c r="DM11" s="1008"/>
      <c r="DN11" s="1008">
        <f t="shared" si="18"/>
        <v>0</v>
      </c>
      <c r="DO11" s="1008">
        <f t="shared" si="18"/>
        <v>0</v>
      </c>
      <c r="DP11" s="1008">
        <f t="shared" si="18"/>
        <v>9809132</v>
      </c>
      <c r="DQ11" s="1008">
        <f t="shared" si="18"/>
        <v>0</v>
      </c>
      <c r="DR11" s="1008"/>
      <c r="DS11" s="1008">
        <f t="shared" si="19"/>
        <v>0</v>
      </c>
      <c r="DT11" s="1008">
        <f t="shared" si="19"/>
        <v>0</v>
      </c>
      <c r="DU11" s="1008"/>
      <c r="DV11" s="1008">
        <f t="shared" si="20"/>
        <v>0</v>
      </c>
      <c r="DW11" s="1008">
        <f t="shared" si="20"/>
        <v>0</v>
      </c>
      <c r="DX11" s="1008">
        <f t="shared" si="20"/>
        <v>0</v>
      </c>
      <c r="DY11" s="1008">
        <f t="shared" si="21"/>
        <v>0</v>
      </c>
      <c r="DZ11" s="1008">
        <f t="shared" si="21"/>
        <v>0</v>
      </c>
      <c r="EA11" s="1008">
        <f t="shared" si="21"/>
        <v>0</v>
      </c>
      <c r="EB11" s="1008">
        <f t="shared" si="21"/>
        <v>0</v>
      </c>
      <c r="EC11" s="1008"/>
      <c r="ED11" s="1008">
        <f t="shared" si="22"/>
        <v>0</v>
      </c>
    </row>
    <row r="12" spans="1:134" ht="33" customHeight="1" x14ac:dyDescent="0.25">
      <c r="A12" s="1562"/>
      <c r="B12" s="1021"/>
      <c r="C12" s="1094" t="s">
        <v>4593</v>
      </c>
      <c r="D12" s="1019" t="s">
        <v>4585</v>
      </c>
      <c r="E12" s="1020">
        <v>510</v>
      </c>
      <c r="F12" s="1097" t="s">
        <v>4660</v>
      </c>
      <c r="G12" s="1400"/>
      <c r="H12" s="1061">
        <f t="shared" si="0"/>
        <v>10000000</v>
      </c>
      <c r="I12" s="1061">
        <f t="shared" si="1"/>
        <v>0</v>
      </c>
      <c r="J12" s="1400"/>
      <c r="K12" s="1573"/>
      <c r="L12" s="1573"/>
      <c r="M12" s="1093">
        <v>0</v>
      </c>
      <c r="N12" s="1093">
        <v>0</v>
      </c>
      <c r="O12" s="1093">
        <v>0</v>
      </c>
      <c r="P12" s="1093">
        <v>100</v>
      </c>
      <c r="Q12" s="1093">
        <v>0</v>
      </c>
      <c r="R12" s="1093">
        <v>0</v>
      </c>
      <c r="S12" s="1097"/>
      <c r="T12" s="1097"/>
      <c r="U12" s="1097"/>
      <c r="V12" s="1097"/>
      <c r="W12" s="1097"/>
      <c r="X12" s="1097"/>
      <c r="Y12" s="1008">
        <f t="shared" si="2"/>
        <v>10000000</v>
      </c>
      <c r="Z12" s="1008"/>
      <c r="AA12" s="1008"/>
      <c r="AB12" s="1008"/>
      <c r="AC12" s="1008"/>
      <c r="AD12" s="1008"/>
      <c r="AE12" s="1008">
        <v>10000000</v>
      </c>
      <c r="AF12" s="1008"/>
      <c r="AG12" s="1008"/>
      <c r="AH12" s="1008"/>
      <c r="AI12" s="1008"/>
      <c r="AJ12" s="1008"/>
      <c r="AK12" s="1008"/>
      <c r="AL12" s="1008"/>
      <c r="AM12" s="1008"/>
      <c r="AN12" s="1008"/>
      <c r="AO12" s="1008"/>
      <c r="AP12" s="1008"/>
      <c r="AQ12" s="1008"/>
      <c r="AR12" s="1008"/>
      <c r="AS12" s="1008"/>
      <c r="AU12" s="1011">
        <f t="shared" si="3"/>
        <v>1</v>
      </c>
      <c r="AV12" s="1008">
        <f t="shared" si="4"/>
        <v>10000000</v>
      </c>
      <c r="AW12" s="1008"/>
      <c r="AX12" s="1008"/>
      <c r="AY12" s="1008"/>
      <c r="AZ12" s="1008"/>
      <c r="BA12" s="1008"/>
      <c r="BB12" s="1008">
        <f>+'[11]ABRIL 2015'!$N$1193</f>
        <v>10000000</v>
      </c>
      <c r="BC12" s="1008"/>
      <c r="BD12" s="1008"/>
      <c r="BE12" s="1008"/>
      <c r="BF12" s="1008"/>
      <c r="BG12" s="1008"/>
      <c r="BH12" s="1008"/>
      <c r="BI12" s="1008"/>
      <c r="BJ12" s="1008"/>
      <c r="BK12" s="1008"/>
      <c r="BL12" s="1008"/>
      <c r="BM12" s="1008"/>
      <c r="BN12" s="1008"/>
      <c r="BO12" s="1008"/>
      <c r="BP12" s="1008"/>
      <c r="BQ12" s="1011">
        <f t="shared" si="5"/>
        <v>0</v>
      </c>
      <c r="BR12" s="1008">
        <f t="shared" si="6"/>
        <v>0</v>
      </c>
      <c r="BS12" s="1008">
        <f t="shared" si="7"/>
        <v>0</v>
      </c>
      <c r="BT12" s="1008">
        <f t="shared" si="8"/>
        <v>0</v>
      </c>
      <c r="BU12" s="1008"/>
      <c r="BV12" s="1008">
        <f t="shared" si="9"/>
        <v>0</v>
      </c>
      <c r="BW12" s="1008"/>
      <c r="BX12" s="1008">
        <f t="shared" si="10"/>
        <v>0</v>
      </c>
      <c r="BY12" s="1008">
        <f t="shared" si="10"/>
        <v>0</v>
      </c>
      <c r="BZ12" s="1008"/>
      <c r="CA12" s="1008"/>
      <c r="CB12" s="1008"/>
      <c r="CC12" s="1008"/>
      <c r="CD12" s="1008">
        <f t="shared" si="11"/>
        <v>0</v>
      </c>
      <c r="CE12" s="1008">
        <f t="shared" si="11"/>
        <v>0</v>
      </c>
      <c r="CF12" s="1008">
        <f t="shared" si="11"/>
        <v>0</v>
      </c>
      <c r="CG12" s="1008">
        <f t="shared" si="11"/>
        <v>0</v>
      </c>
      <c r="CH12" s="1008">
        <f t="shared" si="11"/>
        <v>0</v>
      </c>
      <c r="CI12" s="1008">
        <f t="shared" si="11"/>
        <v>0</v>
      </c>
      <c r="CJ12" s="1008"/>
      <c r="CK12" s="1008"/>
      <c r="CL12" s="1008">
        <f t="shared" si="12"/>
        <v>0</v>
      </c>
      <c r="CM12" s="1011">
        <f t="shared" si="13"/>
        <v>1</v>
      </c>
      <c r="CN12" s="1008">
        <f t="shared" si="14"/>
        <v>10000000</v>
      </c>
      <c r="CO12" s="1008"/>
      <c r="CP12" s="1008"/>
      <c r="CQ12" s="1008"/>
      <c r="CR12" s="1008"/>
      <c r="CS12" s="1008"/>
      <c r="CT12" s="1008">
        <f>+'[11]ABRIL 2015'!$H$1194</f>
        <v>10000000</v>
      </c>
      <c r="CU12" s="1008"/>
      <c r="CV12" s="1008"/>
      <c r="CW12" s="1008"/>
      <c r="CX12" s="1008"/>
      <c r="CY12" s="1008"/>
      <c r="CZ12" s="1008"/>
      <c r="DA12" s="1008"/>
      <c r="DB12" s="1008"/>
      <c r="DC12" s="1008"/>
      <c r="DD12" s="1008"/>
      <c r="DE12" s="1008"/>
      <c r="DF12" s="1008"/>
      <c r="DG12" s="1008"/>
      <c r="DH12" s="1008"/>
      <c r="DI12" s="1011">
        <f t="shared" si="15"/>
        <v>0</v>
      </c>
      <c r="DJ12" s="1008">
        <f t="shared" si="16"/>
        <v>0</v>
      </c>
      <c r="DK12" s="1008">
        <f t="shared" si="17"/>
        <v>0</v>
      </c>
      <c r="DL12" s="1008">
        <f t="shared" si="17"/>
        <v>0</v>
      </c>
      <c r="DM12" s="1008"/>
      <c r="DN12" s="1008">
        <f t="shared" si="18"/>
        <v>0</v>
      </c>
      <c r="DO12" s="1008">
        <f t="shared" si="18"/>
        <v>0</v>
      </c>
      <c r="DP12" s="1008">
        <f t="shared" si="18"/>
        <v>0</v>
      </c>
      <c r="DQ12" s="1008">
        <f t="shared" si="18"/>
        <v>0</v>
      </c>
      <c r="DR12" s="1008"/>
      <c r="DS12" s="1008">
        <f t="shared" si="19"/>
        <v>0</v>
      </c>
      <c r="DT12" s="1008">
        <f t="shared" si="19"/>
        <v>0</v>
      </c>
      <c r="DU12" s="1008"/>
      <c r="DV12" s="1008">
        <f t="shared" si="20"/>
        <v>0</v>
      </c>
      <c r="DW12" s="1008">
        <f t="shared" si="20"/>
        <v>0</v>
      </c>
      <c r="DX12" s="1008">
        <f t="shared" si="20"/>
        <v>0</v>
      </c>
      <c r="DY12" s="1008">
        <f t="shared" si="21"/>
        <v>0</v>
      </c>
      <c r="DZ12" s="1008">
        <f t="shared" si="21"/>
        <v>0</v>
      </c>
      <c r="EA12" s="1008">
        <f t="shared" si="21"/>
        <v>0</v>
      </c>
      <c r="EB12" s="1008">
        <f t="shared" si="21"/>
        <v>0</v>
      </c>
      <c r="EC12" s="1008"/>
      <c r="ED12" s="1008">
        <f t="shared" si="22"/>
        <v>0</v>
      </c>
    </row>
    <row r="13" spans="1:134" ht="50.25" customHeight="1" x14ac:dyDescent="0.25">
      <c r="A13" s="1562"/>
      <c r="B13" s="1021"/>
      <c r="C13" s="1094" t="s">
        <v>4594</v>
      </c>
      <c r="D13" s="1019" t="s">
        <v>4564</v>
      </c>
      <c r="E13" s="1020">
        <v>510</v>
      </c>
      <c r="F13" s="1097" t="s">
        <v>4660</v>
      </c>
      <c r="G13" s="1400"/>
      <c r="H13" s="1061">
        <f t="shared" si="0"/>
        <v>8601149</v>
      </c>
      <c r="I13" s="1061">
        <f t="shared" si="1"/>
        <v>21398851</v>
      </c>
      <c r="J13" s="1400"/>
      <c r="K13" s="1573"/>
      <c r="L13" s="1573"/>
      <c r="M13" s="1093">
        <v>0</v>
      </c>
      <c r="N13" s="1093">
        <v>0</v>
      </c>
      <c r="O13" s="1093">
        <v>0</v>
      </c>
      <c r="P13" s="1093">
        <v>0</v>
      </c>
      <c r="Q13" s="1093">
        <v>0</v>
      </c>
      <c r="R13" s="1093">
        <v>0</v>
      </c>
      <c r="S13" s="1097"/>
      <c r="T13" s="1097"/>
      <c r="U13" s="1097"/>
      <c r="V13" s="1097"/>
      <c r="W13" s="1097"/>
      <c r="X13" s="1097"/>
      <c r="Y13" s="1008">
        <f t="shared" si="2"/>
        <v>30000000</v>
      </c>
      <c r="Z13" s="1008"/>
      <c r="AA13" s="1008"/>
      <c r="AB13" s="1008"/>
      <c r="AC13" s="1008"/>
      <c r="AD13" s="1008"/>
      <c r="AE13" s="1008">
        <v>30000000</v>
      </c>
      <c r="AF13" s="1008"/>
      <c r="AG13" s="1008"/>
      <c r="AH13" s="1008"/>
      <c r="AI13" s="1008"/>
      <c r="AJ13" s="1008"/>
      <c r="AK13" s="1008"/>
      <c r="AL13" s="1008"/>
      <c r="AM13" s="1008"/>
      <c r="AN13" s="1008"/>
      <c r="AO13" s="1008"/>
      <c r="AP13" s="1008"/>
      <c r="AQ13" s="1008"/>
      <c r="AR13" s="1008"/>
      <c r="AS13" s="1008"/>
      <c r="AU13" s="1011">
        <f t="shared" si="3"/>
        <v>0.38755830000000002</v>
      </c>
      <c r="AV13" s="1008">
        <f t="shared" si="4"/>
        <v>11626749</v>
      </c>
      <c r="AW13" s="1008"/>
      <c r="AX13" s="1008"/>
      <c r="AY13" s="1008"/>
      <c r="AZ13" s="1008"/>
      <c r="BA13" s="1008"/>
      <c r="BB13" s="1008">
        <f>+'[18]OCTUBRE 2015'!$O$2905</f>
        <v>11626749</v>
      </c>
      <c r="BC13" s="1008"/>
      <c r="BD13" s="1008"/>
      <c r="BE13" s="1008"/>
      <c r="BF13" s="1008"/>
      <c r="BG13" s="1008"/>
      <c r="BH13" s="1008"/>
      <c r="BI13" s="1008"/>
      <c r="BJ13" s="1008"/>
      <c r="BK13" s="1008"/>
      <c r="BL13" s="1008"/>
      <c r="BM13" s="1008"/>
      <c r="BN13" s="1008"/>
      <c r="BO13" s="1008"/>
      <c r="BP13" s="1008"/>
      <c r="BQ13" s="1011">
        <f t="shared" si="5"/>
        <v>0.61244169999999998</v>
      </c>
      <c r="BR13" s="1008">
        <f t="shared" si="6"/>
        <v>18373251</v>
      </c>
      <c r="BS13" s="1008">
        <f t="shared" si="7"/>
        <v>0</v>
      </c>
      <c r="BT13" s="1008">
        <f t="shared" si="8"/>
        <v>0</v>
      </c>
      <c r="BU13" s="1008"/>
      <c r="BV13" s="1008">
        <f t="shared" si="9"/>
        <v>0</v>
      </c>
      <c r="BW13" s="1008"/>
      <c r="BX13" s="1008">
        <f t="shared" si="10"/>
        <v>18373251</v>
      </c>
      <c r="BY13" s="1008">
        <f t="shared" si="10"/>
        <v>0</v>
      </c>
      <c r="BZ13" s="1008"/>
      <c r="CA13" s="1008"/>
      <c r="CB13" s="1008"/>
      <c r="CC13" s="1008"/>
      <c r="CD13" s="1008">
        <f t="shared" si="11"/>
        <v>0</v>
      </c>
      <c r="CE13" s="1008">
        <f t="shared" si="11"/>
        <v>0</v>
      </c>
      <c r="CF13" s="1008">
        <f t="shared" si="11"/>
        <v>0</v>
      </c>
      <c r="CG13" s="1008">
        <f t="shared" si="11"/>
        <v>0</v>
      </c>
      <c r="CH13" s="1008">
        <f t="shared" si="11"/>
        <v>0</v>
      </c>
      <c r="CI13" s="1008">
        <f t="shared" si="11"/>
        <v>0</v>
      </c>
      <c r="CJ13" s="1008"/>
      <c r="CK13" s="1008"/>
      <c r="CL13" s="1008">
        <f t="shared" si="12"/>
        <v>0</v>
      </c>
      <c r="CM13" s="1011">
        <f t="shared" si="13"/>
        <v>0.28670496666666667</v>
      </c>
      <c r="CN13" s="1008">
        <f t="shared" si="14"/>
        <v>8601149</v>
      </c>
      <c r="CO13" s="1008"/>
      <c r="CP13" s="1008"/>
      <c r="CQ13" s="1008"/>
      <c r="CR13" s="1008"/>
      <c r="CS13" s="1008"/>
      <c r="CT13" s="1008">
        <f>+'[18]OCTUBRE 2015'!$H$2903</f>
        <v>8601149</v>
      </c>
      <c r="CU13" s="1008"/>
      <c r="CV13" s="1008"/>
      <c r="CW13" s="1008"/>
      <c r="CX13" s="1008"/>
      <c r="CY13" s="1008"/>
      <c r="CZ13" s="1008"/>
      <c r="DA13" s="1008"/>
      <c r="DB13" s="1008"/>
      <c r="DC13" s="1008"/>
      <c r="DD13" s="1008"/>
      <c r="DE13" s="1008"/>
      <c r="DF13" s="1008"/>
      <c r="DG13" s="1008"/>
      <c r="DH13" s="1008"/>
      <c r="DI13" s="1011">
        <f t="shared" si="15"/>
        <v>0.71329503333333333</v>
      </c>
      <c r="DJ13" s="1008">
        <f t="shared" si="16"/>
        <v>21398851</v>
      </c>
      <c r="DK13" s="1008">
        <f t="shared" si="17"/>
        <v>0</v>
      </c>
      <c r="DL13" s="1008">
        <f t="shared" si="17"/>
        <v>0</v>
      </c>
      <c r="DM13" s="1008"/>
      <c r="DN13" s="1008">
        <f t="shared" si="18"/>
        <v>0</v>
      </c>
      <c r="DO13" s="1008">
        <f t="shared" si="18"/>
        <v>0</v>
      </c>
      <c r="DP13" s="1008">
        <f t="shared" si="18"/>
        <v>21398851</v>
      </c>
      <c r="DQ13" s="1008">
        <f t="shared" si="18"/>
        <v>0</v>
      </c>
      <c r="DR13" s="1008"/>
      <c r="DS13" s="1008">
        <f t="shared" si="19"/>
        <v>0</v>
      </c>
      <c r="DT13" s="1008">
        <f t="shared" si="19"/>
        <v>0</v>
      </c>
      <c r="DU13" s="1008"/>
      <c r="DV13" s="1008">
        <f t="shared" si="20"/>
        <v>0</v>
      </c>
      <c r="DW13" s="1008">
        <f t="shared" si="20"/>
        <v>0</v>
      </c>
      <c r="DX13" s="1008">
        <f t="shared" si="20"/>
        <v>0</v>
      </c>
      <c r="DY13" s="1008">
        <f t="shared" si="21"/>
        <v>0</v>
      </c>
      <c r="DZ13" s="1008">
        <f t="shared" si="21"/>
        <v>0</v>
      </c>
      <c r="EA13" s="1008">
        <f t="shared" si="21"/>
        <v>0</v>
      </c>
      <c r="EB13" s="1008">
        <f t="shared" si="21"/>
        <v>0</v>
      </c>
      <c r="EC13" s="1008"/>
      <c r="ED13" s="1008">
        <f t="shared" si="22"/>
        <v>0</v>
      </c>
    </row>
    <row r="14" spans="1:134" ht="39" customHeight="1" x14ac:dyDescent="0.25">
      <c r="A14" s="1562"/>
      <c r="B14" s="1021"/>
      <c r="C14" s="1094" t="s">
        <v>4595</v>
      </c>
      <c r="D14" s="1019" t="s">
        <v>4565</v>
      </c>
      <c r="E14" s="1020">
        <v>510</v>
      </c>
      <c r="F14" s="1097" t="s">
        <v>4660</v>
      </c>
      <c r="G14" s="1400"/>
      <c r="H14" s="1061">
        <f t="shared" si="0"/>
        <v>0</v>
      </c>
      <c r="I14" s="1061">
        <f t="shared" si="1"/>
        <v>15000000</v>
      </c>
      <c r="J14" s="1400"/>
      <c r="K14" s="1573"/>
      <c r="L14" s="1573"/>
      <c r="M14" s="1093">
        <v>0</v>
      </c>
      <c r="N14" s="1093">
        <v>0</v>
      </c>
      <c r="O14" s="1093">
        <v>0</v>
      </c>
      <c r="P14" s="1093">
        <v>0</v>
      </c>
      <c r="Q14" s="1093">
        <v>0</v>
      </c>
      <c r="R14" s="1093">
        <v>0</v>
      </c>
      <c r="S14" s="1097"/>
      <c r="T14" s="1097"/>
      <c r="U14" s="1097"/>
      <c r="V14" s="1097"/>
      <c r="W14" s="1097"/>
      <c r="X14" s="1097"/>
      <c r="Y14" s="1008">
        <f t="shared" si="2"/>
        <v>15000000</v>
      </c>
      <c r="Z14" s="1008"/>
      <c r="AA14" s="1008"/>
      <c r="AB14" s="1008"/>
      <c r="AC14" s="1008"/>
      <c r="AD14" s="1008"/>
      <c r="AE14" s="1008">
        <v>15000000</v>
      </c>
      <c r="AF14" s="1008"/>
      <c r="AG14" s="1008"/>
      <c r="AH14" s="1008"/>
      <c r="AI14" s="1008"/>
      <c r="AJ14" s="1008"/>
      <c r="AK14" s="1008"/>
      <c r="AL14" s="1008"/>
      <c r="AM14" s="1008"/>
      <c r="AN14" s="1008"/>
      <c r="AO14" s="1008"/>
      <c r="AP14" s="1008"/>
      <c r="AQ14" s="1008"/>
      <c r="AR14" s="1008"/>
      <c r="AS14" s="1008"/>
      <c r="AU14" s="1011">
        <f t="shared" si="3"/>
        <v>0</v>
      </c>
      <c r="AV14" s="1008">
        <f t="shared" si="4"/>
        <v>0</v>
      </c>
      <c r="AW14" s="1008"/>
      <c r="AX14" s="1008"/>
      <c r="AY14" s="1008"/>
      <c r="AZ14" s="1008"/>
      <c r="BA14" s="1008"/>
      <c r="BB14" s="1008"/>
      <c r="BC14" s="1008"/>
      <c r="BD14" s="1008"/>
      <c r="BE14" s="1008"/>
      <c r="BF14" s="1008"/>
      <c r="BG14" s="1008"/>
      <c r="BH14" s="1008"/>
      <c r="BI14" s="1008"/>
      <c r="BJ14" s="1008"/>
      <c r="BK14" s="1008"/>
      <c r="BL14" s="1008"/>
      <c r="BM14" s="1008"/>
      <c r="BN14" s="1008"/>
      <c r="BO14" s="1008"/>
      <c r="BP14" s="1008"/>
      <c r="BQ14" s="1011">
        <f t="shared" si="5"/>
        <v>1</v>
      </c>
      <c r="BR14" s="1008">
        <f t="shared" si="6"/>
        <v>15000000</v>
      </c>
      <c r="BS14" s="1008">
        <f t="shared" si="7"/>
        <v>0</v>
      </c>
      <c r="BT14" s="1008">
        <f t="shared" si="8"/>
        <v>0</v>
      </c>
      <c r="BU14" s="1008"/>
      <c r="BV14" s="1008">
        <f t="shared" si="9"/>
        <v>0</v>
      </c>
      <c r="BW14" s="1008"/>
      <c r="BX14" s="1008">
        <f t="shared" si="10"/>
        <v>15000000</v>
      </c>
      <c r="BY14" s="1008">
        <f t="shared" si="10"/>
        <v>0</v>
      </c>
      <c r="BZ14" s="1008"/>
      <c r="CA14" s="1008"/>
      <c r="CB14" s="1008"/>
      <c r="CC14" s="1008"/>
      <c r="CD14" s="1008">
        <f t="shared" si="11"/>
        <v>0</v>
      </c>
      <c r="CE14" s="1008">
        <f t="shared" si="11"/>
        <v>0</v>
      </c>
      <c r="CF14" s="1008">
        <f t="shared" si="11"/>
        <v>0</v>
      </c>
      <c r="CG14" s="1008">
        <f t="shared" si="11"/>
        <v>0</v>
      </c>
      <c r="CH14" s="1008">
        <f t="shared" si="11"/>
        <v>0</v>
      </c>
      <c r="CI14" s="1008">
        <f t="shared" si="11"/>
        <v>0</v>
      </c>
      <c r="CJ14" s="1008"/>
      <c r="CK14" s="1008"/>
      <c r="CL14" s="1008">
        <f t="shared" si="12"/>
        <v>0</v>
      </c>
      <c r="CM14" s="1011">
        <f t="shared" si="13"/>
        <v>0</v>
      </c>
      <c r="CN14" s="1008">
        <f t="shared" si="14"/>
        <v>0</v>
      </c>
      <c r="CO14" s="1008"/>
      <c r="CP14" s="1008"/>
      <c r="CQ14" s="1008"/>
      <c r="CR14" s="1008"/>
      <c r="CS14" s="1008"/>
      <c r="CT14" s="1008"/>
      <c r="CU14" s="1008"/>
      <c r="CV14" s="1008"/>
      <c r="CW14" s="1008"/>
      <c r="CX14" s="1008"/>
      <c r="CY14" s="1008"/>
      <c r="CZ14" s="1008"/>
      <c r="DA14" s="1008"/>
      <c r="DB14" s="1008"/>
      <c r="DC14" s="1008"/>
      <c r="DD14" s="1008"/>
      <c r="DE14" s="1008"/>
      <c r="DF14" s="1008"/>
      <c r="DG14" s="1008"/>
      <c r="DH14" s="1008"/>
      <c r="DI14" s="1011">
        <f t="shared" si="15"/>
        <v>1</v>
      </c>
      <c r="DJ14" s="1008">
        <f t="shared" si="16"/>
        <v>15000000</v>
      </c>
      <c r="DK14" s="1008">
        <f t="shared" si="17"/>
        <v>0</v>
      </c>
      <c r="DL14" s="1008">
        <f t="shared" si="17"/>
        <v>0</v>
      </c>
      <c r="DM14" s="1008"/>
      <c r="DN14" s="1008">
        <f t="shared" si="18"/>
        <v>0</v>
      </c>
      <c r="DO14" s="1008">
        <f t="shared" si="18"/>
        <v>0</v>
      </c>
      <c r="DP14" s="1008">
        <f t="shared" si="18"/>
        <v>15000000</v>
      </c>
      <c r="DQ14" s="1008">
        <f t="shared" si="18"/>
        <v>0</v>
      </c>
      <c r="DR14" s="1008"/>
      <c r="DS14" s="1008">
        <f t="shared" si="19"/>
        <v>0</v>
      </c>
      <c r="DT14" s="1008">
        <f t="shared" si="19"/>
        <v>0</v>
      </c>
      <c r="DU14" s="1008"/>
      <c r="DV14" s="1008">
        <f t="shared" si="20"/>
        <v>0</v>
      </c>
      <c r="DW14" s="1008">
        <f t="shared" si="20"/>
        <v>0</v>
      </c>
      <c r="DX14" s="1008">
        <f t="shared" si="20"/>
        <v>0</v>
      </c>
      <c r="DY14" s="1008">
        <f t="shared" si="21"/>
        <v>0</v>
      </c>
      <c r="DZ14" s="1008">
        <f t="shared" si="21"/>
        <v>0</v>
      </c>
      <c r="EA14" s="1008">
        <f t="shared" si="21"/>
        <v>0</v>
      </c>
      <c r="EB14" s="1008">
        <f t="shared" si="21"/>
        <v>0</v>
      </c>
      <c r="EC14" s="1008"/>
      <c r="ED14" s="1008">
        <f t="shared" si="22"/>
        <v>0</v>
      </c>
    </row>
    <row r="15" spans="1:134" ht="34.5" customHeight="1" x14ac:dyDescent="0.25">
      <c r="A15" s="1562"/>
      <c r="B15" s="1021"/>
      <c r="C15" s="1094" t="s">
        <v>4596</v>
      </c>
      <c r="D15" s="1019" t="s">
        <v>4586</v>
      </c>
      <c r="E15" s="1020">
        <v>510</v>
      </c>
      <c r="F15" s="1097" t="s">
        <v>4660</v>
      </c>
      <c r="G15" s="1400"/>
      <c r="H15" s="1061">
        <f t="shared" si="0"/>
        <v>0</v>
      </c>
      <c r="I15" s="1061">
        <f t="shared" si="1"/>
        <v>10000000</v>
      </c>
      <c r="J15" s="1400"/>
      <c r="K15" s="1573"/>
      <c r="L15" s="1573"/>
      <c r="M15" s="1093">
        <v>0</v>
      </c>
      <c r="N15" s="1093">
        <v>0</v>
      </c>
      <c r="O15" s="1093">
        <v>0</v>
      </c>
      <c r="P15" s="1093">
        <v>0</v>
      </c>
      <c r="Q15" s="1093">
        <v>0</v>
      </c>
      <c r="R15" s="1093">
        <v>0</v>
      </c>
      <c r="S15" s="1097"/>
      <c r="T15" s="1097"/>
      <c r="U15" s="1097"/>
      <c r="V15" s="1097"/>
      <c r="W15" s="1097"/>
      <c r="X15" s="1097"/>
      <c r="Y15" s="1008">
        <f t="shared" si="2"/>
        <v>10000000</v>
      </c>
      <c r="Z15" s="1008"/>
      <c r="AA15" s="1008"/>
      <c r="AB15" s="1008"/>
      <c r="AC15" s="1008"/>
      <c r="AD15" s="1008"/>
      <c r="AE15" s="1008">
        <v>10000000</v>
      </c>
      <c r="AF15" s="1008"/>
      <c r="AG15" s="1008"/>
      <c r="AH15" s="1008"/>
      <c r="AI15" s="1008"/>
      <c r="AJ15" s="1008"/>
      <c r="AK15" s="1008"/>
      <c r="AL15" s="1008"/>
      <c r="AM15" s="1008"/>
      <c r="AN15" s="1008"/>
      <c r="AO15" s="1008"/>
      <c r="AP15" s="1008"/>
      <c r="AQ15" s="1008"/>
      <c r="AR15" s="1008"/>
      <c r="AS15" s="1008"/>
      <c r="AU15" s="1011">
        <f t="shared" si="3"/>
        <v>0</v>
      </c>
      <c r="AV15" s="1008">
        <f t="shared" si="4"/>
        <v>0</v>
      </c>
      <c r="AW15" s="1008"/>
      <c r="AX15" s="1008"/>
      <c r="AY15" s="1008"/>
      <c r="AZ15" s="1008"/>
      <c r="BA15" s="1008"/>
      <c r="BB15" s="1008"/>
      <c r="BC15" s="1008"/>
      <c r="BD15" s="1008"/>
      <c r="BE15" s="1008"/>
      <c r="BF15" s="1008"/>
      <c r="BG15" s="1008"/>
      <c r="BH15" s="1008"/>
      <c r="BI15" s="1008"/>
      <c r="BJ15" s="1008"/>
      <c r="BK15" s="1008"/>
      <c r="BL15" s="1008"/>
      <c r="BM15" s="1008"/>
      <c r="BN15" s="1008"/>
      <c r="BO15" s="1008"/>
      <c r="BP15" s="1008"/>
      <c r="BQ15" s="1011">
        <f t="shared" si="5"/>
        <v>1</v>
      </c>
      <c r="BR15" s="1008">
        <f t="shared" si="6"/>
        <v>10000000</v>
      </c>
      <c r="BS15" s="1008">
        <f t="shared" si="7"/>
        <v>0</v>
      </c>
      <c r="BT15" s="1008">
        <f t="shared" si="8"/>
        <v>0</v>
      </c>
      <c r="BU15" s="1008"/>
      <c r="BV15" s="1008">
        <f t="shared" si="9"/>
        <v>0</v>
      </c>
      <c r="BW15" s="1008"/>
      <c r="BX15" s="1008">
        <f t="shared" si="10"/>
        <v>10000000</v>
      </c>
      <c r="BY15" s="1008">
        <f t="shared" si="10"/>
        <v>0</v>
      </c>
      <c r="BZ15" s="1008"/>
      <c r="CA15" s="1008"/>
      <c r="CB15" s="1008"/>
      <c r="CC15" s="1008"/>
      <c r="CD15" s="1008">
        <f t="shared" si="11"/>
        <v>0</v>
      </c>
      <c r="CE15" s="1008">
        <f t="shared" si="11"/>
        <v>0</v>
      </c>
      <c r="CF15" s="1008">
        <f t="shared" si="11"/>
        <v>0</v>
      </c>
      <c r="CG15" s="1008">
        <f t="shared" si="11"/>
        <v>0</v>
      </c>
      <c r="CH15" s="1008">
        <f t="shared" si="11"/>
        <v>0</v>
      </c>
      <c r="CI15" s="1008">
        <f t="shared" si="11"/>
        <v>0</v>
      </c>
      <c r="CJ15" s="1008"/>
      <c r="CK15" s="1008"/>
      <c r="CL15" s="1008">
        <f t="shared" si="12"/>
        <v>0</v>
      </c>
      <c r="CM15" s="1011">
        <f t="shared" si="13"/>
        <v>0</v>
      </c>
      <c r="CN15" s="1008">
        <f t="shared" si="14"/>
        <v>0</v>
      </c>
      <c r="CO15" s="1008"/>
      <c r="CP15" s="1008"/>
      <c r="CQ15" s="1008"/>
      <c r="CR15" s="1008"/>
      <c r="CS15" s="1008"/>
      <c r="CT15" s="1008"/>
      <c r="CU15" s="1008"/>
      <c r="CV15" s="1008"/>
      <c r="CW15" s="1008"/>
      <c r="CX15" s="1008"/>
      <c r="CY15" s="1008"/>
      <c r="CZ15" s="1008"/>
      <c r="DA15" s="1008"/>
      <c r="DB15" s="1008"/>
      <c r="DC15" s="1008"/>
      <c r="DD15" s="1008"/>
      <c r="DE15" s="1008"/>
      <c r="DF15" s="1008"/>
      <c r="DG15" s="1008"/>
      <c r="DH15" s="1008"/>
      <c r="DI15" s="1011">
        <f t="shared" si="15"/>
        <v>1</v>
      </c>
      <c r="DJ15" s="1008">
        <f t="shared" si="16"/>
        <v>10000000</v>
      </c>
      <c r="DK15" s="1008">
        <f t="shared" si="17"/>
        <v>0</v>
      </c>
      <c r="DL15" s="1008">
        <f t="shared" si="17"/>
        <v>0</v>
      </c>
      <c r="DM15" s="1008"/>
      <c r="DN15" s="1008">
        <f t="shared" si="18"/>
        <v>0</v>
      </c>
      <c r="DO15" s="1008">
        <f t="shared" si="18"/>
        <v>0</v>
      </c>
      <c r="DP15" s="1008">
        <f t="shared" si="18"/>
        <v>10000000</v>
      </c>
      <c r="DQ15" s="1008">
        <f t="shared" si="18"/>
        <v>0</v>
      </c>
      <c r="DR15" s="1008"/>
      <c r="DS15" s="1008">
        <f t="shared" si="19"/>
        <v>0</v>
      </c>
      <c r="DT15" s="1008">
        <f t="shared" si="19"/>
        <v>0</v>
      </c>
      <c r="DU15" s="1008"/>
      <c r="DV15" s="1008">
        <f t="shared" si="20"/>
        <v>0</v>
      </c>
      <c r="DW15" s="1008">
        <f t="shared" si="20"/>
        <v>0</v>
      </c>
      <c r="DX15" s="1008">
        <f t="shared" si="20"/>
        <v>0</v>
      </c>
      <c r="DY15" s="1008">
        <f t="shared" si="21"/>
        <v>0</v>
      </c>
      <c r="DZ15" s="1008">
        <f t="shared" si="21"/>
        <v>0</v>
      </c>
      <c r="EA15" s="1008">
        <f t="shared" si="21"/>
        <v>0</v>
      </c>
      <c r="EB15" s="1008">
        <f t="shared" si="21"/>
        <v>0</v>
      </c>
      <c r="EC15" s="1008"/>
      <c r="ED15" s="1008">
        <f t="shared" si="22"/>
        <v>0</v>
      </c>
    </row>
    <row r="16" spans="1:134" s="203" customFormat="1" ht="29.25" customHeight="1" x14ac:dyDescent="0.25">
      <c r="A16" s="1562"/>
      <c r="B16" s="1080"/>
      <c r="C16" s="1081" t="s">
        <v>4685</v>
      </c>
      <c r="D16" s="1019" t="s">
        <v>4697</v>
      </c>
      <c r="E16" s="1020">
        <v>510</v>
      </c>
      <c r="F16" s="1097" t="s">
        <v>4660</v>
      </c>
      <c r="G16" s="1401"/>
      <c r="H16" s="1061">
        <f t="shared" si="0"/>
        <v>0</v>
      </c>
      <c r="I16" s="1061">
        <f t="shared" si="1"/>
        <v>0</v>
      </c>
      <c r="J16" s="1401"/>
      <c r="K16" s="1284"/>
      <c r="L16" s="1284"/>
      <c r="M16" s="1075">
        <v>0</v>
      </c>
      <c r="N16" s="1075">
        <v>0</v>
      </c>
      <c r="O16" s="1075">
        <v>0</v>
      </c>
      <c r="P16" s="1075"/>
      <c r="Q16" s="1075"/>
      <c r="R16" s="1075"/>
      <c r="S16" s="1097"/>
      <c r="T16" s="1097"/>
      <c r="U16" s="1097"/>
      <c r="V16" s="1097"/>
      <c r="W16" s="1097"/>
      <c r="X16" s="1097"/>
      <c r="Y16" s="1067">
        <f t="shared" si="2"/>
        <v>0</v>
      </c>
      <c r="Z16" s="1067"/>
      <c r="AA16" s="1067"/>
      <c r="AB16" s="1067"/>
      <c r="AC16" s="1067"/>
      <c r="AD16" s="1067"/>
      <c r="AE16" s="1067"/>
      <c r="AF16" s="1067"/>
      <c r="AG16" s="1067"/>
      <c r="AH16" s="1067"/>
      <c r="AI16" s="1067"/>
      <c r="AJ16" s="1067"/>
      <c r="AK16" s="1067"/>
      <c r="AL16" s="1067"/>
      <c r="AM16" s="1067"/>
      <c r="AN16" s="1067">
        <f>100000000-100000000</f>
        <v>0</v>
      </c>
      <c r="AO16" s="1067"/>
      <c r="AP16" s="1067"/>
      <c r="AQ16" s="1067"/>
      <c r="AR16" s="1067"/>
      <c r="AS16" s="1067"/>
      <c r="AU16" s="1082" t="e">
        <f t="shared" si="3"/>
        <v>#DIV/0!</v>
      </c>
      <c r="AV16" s="1067">
        <f t="shared" si="4"/>
        <v>0</v>
      </c>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82" t="e">
        <f t="shared" si="5"/>
        <v>#DIV/0!</v>
      </c>
      <c r="BR16" s="1067">
        <f t="shared" si="6"/>
        <v>0</v>
      </c>
      <c r="BS16" s="1067">
        <f t="shared" si="7"/>
        <v>0</v>
      </c>
      <c r="BT16" s="1067">
        <f t="shared" si="8"/>
        <v>0</v>
      </c>
      <c r="BU16" s="1067"/>
      <c r="BV16" s="1067">
        <f t="shared" si="9"/>
        <v>0</v>
      </c>
      <c r="BW16" s="1067"/>
      <c r="BX16" s="1067">
        <f t="shared" si="10"/>
        <v>0</v>
      </c>
      <c r="BY16" s="1067">
        <f t="shared" si="10"/>
        <v>0</v>
      </c>
      <c r="BZ16" s="1067"/>
      <c r="CA16" s="1067"/>
      <c r="CB16" s="1067"/>
      <c r="CC16" s="1067"/>
      <c r="CD16" s="1067">
        <f t="shared" si="11"/>
        <v>0</v>
      </c>
      <c r="CE16" s="1067">
        <f t="shared" si="11"/>
        <v>0</v>
      </c>
      <c r="CF16" s="1067">
        <f t="shared" si="11"/>
        <v>0</v>
      </c>
      <c r="CG16" s="1067">
        <f t="shared" si="11"/>
        <v>0</v>
      </c>
      <c r="CH16" s="1067">
        <f t="shared" si="11"/>
        <v>0</v>
      </c>
      <c r="CI16" s="1067">
        <f t="shared" si="11"/>
        <v>0</v>
      </c>
      <c r="CJ16" s="1067"/>
      <c r="CK16" s="1067"/>
      <c r="CL16" s="1067">
        <f t="shared" si="12"/>
        <v>0</v>
      </c>
      <c r="CM16" s="1082" t="e">
        <f t="shared" si="13"/>
        <v>#DIV/0!</v>
      </c>
      <c r="CN16" s="1067">
        <f t="shared" si="14"/>
        <v>0</v>
      </c>
      <c r="CO16" s="1067"/>
      <c r="CP16" s="1067"/>
      <c r="CQ16" s="1067"/>
      <c r="CR16" s="1067"/>
      <c r="CS16" s="1067"/>
      <c r="CT16" s="1067"/>
      <c r="CU16" s="1067"/>
      <c r="CV16" s="1067"/>
      <c r="CW16" s="1067"/>
      <c r="CX16" s="1067"/>
      <c r="CY16" s="1067"/>
      <c r="CZ16" s="1067"/>
      <c r="DA16" s="1067"/>
      <c r="DB16" s="1067"/>
      <c r="DC16" s="1067"/>
      <c r="DD16" s="1067"/>
      <c r="DE16" s="1067"/>
      <c r="DF16" s="1067"/>
      <c r="DG16" s="1067"/>
      <c r="DH16" s="1067"/>
      <c r="DI16" s="1082" t="e">
        <f t="shared" si="15"/>
        <v>#DIV/0!</v>
      </c>
      <c r="DJ16" s="1067">
        <f t="shared" si="16"/>
        <v>0</v>
      </c>
      <c r="DK16" s="1067">
        <f t="shared" si="17"/>
        <v>0</v>
      </c>
      <c r="DL16" s="1067">
        <f t="shared" si="17"/>
        <v>0</v>
      </c>
      <c r="DM16" s="1067"/>
      <c r="DN16" s="1067">
        <f t="shared" si="18"/>
        <v>0</v>
      </c>
      <c r="DO16" s="1067">
        <f t="shared" si="18"/>
        <v>0</v>
      </c>
      <c r="DP16" s="1067">
        <f t="shared" si="18"/>
        <v>0</v>
      </c>
      <c r="DQ16" s="1067">
        <f t="shared" si="18"/>
        <v>0</v>
      </c>
      <c r="DR16" s="1067"/>
      <c r="DS16" s="1067">
        <f t="shared" si="19"/>
        <v>0</v>
      </c>
      <c r="DT16" s="1067">
        <f t="shared" si="19"/>
        <v>0</v>
      </c>
      <c r="DU16" s="1067"/>
      <c r="DV16" s="1067">
        <f t="shared" si="20"/>
        <v>0</v>
      </c>
      <c r="DW16" s="1067">
        <f t="shared" si="20"/>
        <v>0</v>
      </c>
      <c r="DX16" s="1067">
        <f t="shared" si="20"/>
        <v>0</v>
      </c>
      <c r="DY16" s="1067">
        <f t="shared" si="21"/>
        <v>0</v>
      </c>
      <c r="DZ16" s="1067">
        <f t="shared" si="21"/>
        <v>0</v>
      </c>
      <c r="EA16" s="1067">
        <f t="shared" si="21"/>
        <v>0</v>
      </c>
      <c r="EB16" s="1067">
        <f t="shared" si="21"/>
        <v>0</v>
      </c>
      <c r="EC16" s="1067"/>
      <c r="ED16" s="1067">
        <f t="shared" si="22"/>
        <v>0</v>
      </c>
    </row>
    <row r="17" spans="1:134" ht="66.75" customHeight="1" x14ac:dyDescent="0.25">
      <c r="A17" s="1562"/>
      <c r="B17" s="1065" t="s">
        <v>4301</v>
      </c>
      <c r="C17" s="1094" t="s">
        <v>4399</v>
      </c>
      <c r="D17" s="1019" t="s">
        <v>4683</v>
      </c>
      <c r="E17" s="1020">
        <v>310</v>
      </c>
      <c r="F17" s="1097" t="s">
        <v>4728</v>
      </c>
      <c r="G17" s="1399">
        <v>916000000</v>
      </c>
      <c r="H17" s="1061">
        <f t="shared" si="0"/>
        <v>374231666</v>
      </c>
      <c r="I17" s="1061">
        <f t="shared" si="1"/>
        <v>135691953</v>
      </c>
      <c r="J17" s="1399" t="s">
        <v>4763</v>
      </c>
      <c r="K17" s="1283" t="s">
        <v>4765</v>
      </c>
      <c r="L17" s="1283" t="s">
        <v>4764</v>
      </c>
      <c r="M17" s="1093">
        <v>12</v>
      </c>
      <c r="N17" s="1093">
        <v>0</v>
      </c>
      <c r="O17" s="1093">
        <v>0</v>
      </c>
      <c r="P17" s="1093">
        <v>16</v>
      </c>
      <c r="Q17" s="1093">
        <v>25</v>
      </c>
      <c r="R17" s="1093">
        <v>4</v>
      </c>
      <c r="S17" s="1101"/>
      <c r="T17" s="1101"/>
      <c r="U17" s="1101"/>
      <c r="V17" s="1101"/>
      <c r="W17" s="1101"/>
      <c r="X17" s="1101"/>
      <c r="Y17" s="1008">
        <f t="shared" si="2"/>
        <v>509923619</v>
      </c>
      <c r="Z17" s="1008"/>
      <c r="AA17" s="1008"/>
      <c r="AB17" s="1008"/>
      <c r="AC17" s="1008"/>
      <c r="AD17" s="1008"/>
      <c r="AE17" s="1008">
        <v>390000000</v>
      </c>
      <c r="AF17" s="1008"/>
      <c r="AG17" s="1008"/>
      <c r="AH17" s="1008"/>
      <c r="AI17" s="1008"/>
      <c r="AJ17" s="1008"/>
      <c r="AK17" s="1008"/>
      <c r="AL17" s="1008"/>
      <c r="AM17" s="1008"/>
      <c r="AN17" s="1008">
        <f>150000000-125000000</f>
        <v>25000000</v>
      </c>
      <c r="AO17" s="1008"/>
      <c r="AP17" s="1008"/>
      <c r="AQ17" s="1008"/>
      <c r="AR17" s="1008"/>
      <c r="AS17" s="1008">
        <f>12388298+18001909+6000000+20000000+3962083+17271329+17300000</f>
        <v>94923619</v>
      </c>
      <c r="AU17" s="1011">
        <f t="shared" si="3"/>
        <v>0.78230347278736267</v>
      </c>
      <c r="AV17" s="1008">
        <f t="shared" si="4"/>
        <v>398915018</v>
      </c>
      <c r="AW17" s="1008"/>
      <c r="AX17" s="1008"/>
      <c r="AY17" s="1008"/>
      <c r="AZ17" s="1008"/>
      <c r="BA17" s="1008"/>
      <c r="BB17" s="1008">
        <f>+'[18]OCTUBRE 2015'!$O$492</f>
        <v>309006302</v>
      </c>
      <c r="BC17" s="1008"/>
      <c r="BD17" s="1008"/>
      <c r="BE17" s="1008"/>
      <c r="BF17" s="1008"/>
      <c r="BG17" s="1008"/>
      <c r="BH17" s="1008"/>
      <c r="BI17" s="1008"/>
      <c r="BJ17" s="1008"/>
      <c r="BK17" s="1008"/>
      <c r="BL17" s="1008"/>
      <c r="BM17" s="1008"/>
      <c r="BN17" s="1008"/>
      <c r="BO17" s="1008"/>
      <c r="BP17" s="1008">
        <f>+'[18]OCTUBRE 2015'!$AD$492</f>
        <v>89908716</v>
      </c>
      <c r="BQ17" s="1011">
        <f t="shared" si="5"/>
        <v>0.21769652721263733</v>
      </c>
      <c r="BR17" s="1008">
        <f t="shared" si="6"/>
        <v>111008601</v>
      </c>
      <c r="BS17" s="1008">
        <f t="shared" si="7"/>
        <v>0</v>
      </c>
      <c r="BT17" s="1008">
        <f t="shared" si="8"/>
        <v>0</v>
      </c>
      <c r="BU17" s="1008"/>
      <c r="BV17" s="1008">
        <f t="shared" si="9"/>
        <v>0</v>
      </c>
      <c r="BW17" s="1008"/>
      <c r="BX17" s="1008">
        <f t="shared" si="10"/>
        <v>80993698</v>
      </c>
      <c r="BY17" s="1008">
        <f t="shared" si="10"/>
        <v>0</v>
      </c>
      <c r="BZ17" s="1008"/>
      <c r="CA17" s="1008"/>
      <c r="CB17" s="1008"/>
      <c r="CC17" s="1008"/>
      <c r="CD17" s="1008">
        <f t="shared" si="11"/>
        <v>0</v>
      </c>
      <c r="CE17" s="1008">
        <f t="shared" si="11"/>
        <v>0</v>
      </c>
      <c r="CF17" s="1008">
        <f t="shared" si="11"/>
        <v>0</v>
      </c>
      <c r="CG17" s="1008">
        <f t="shared" si="11"/>
        <v>25000000</v>
      </c>
      <c r="CH17" s="1008">
        <f t="shared" si="11"/>
        <v>0</v>
      </c>
      <c r="CI17" s="1008">
        <f t="shared" si="11"/>
        <v>0</v>
      </c>
      <c r="CJ17" s="1008"/>
      <c r="CK17" s="1008"/>
      <c r="CL17" s="1008">
        <f t="shared" si="12"/>
        <v>5014903</v>
      </c>
      <c r="CM17" s="1011">
        <f t="shared" si="13"/>
        <v>0.73389749377347435</v>
      </c>
      <c r="CN17" s="1008">
        <f t="shared" si="14"/>
        <v>374231666</v>
      </c>
      <c r="CO17" s="1008"/>
      <c r="CP17" s="1008"/>
      <c r="CQ17" s="1008"/>
      <c r="CR17" s="1008"/>
      <c r="CS17" s="1008"/>
      <c r="CT17" s="1008">
        <f>+'[18]OCTUBRE 2015'!$H$488-DH17</f>
        <v>307506302</v>
      </c>
      <c r="CU17" s="1008"/>
      <c r="CV17" s="1008"/>
      <c r="CW17" s="1008"/>
      <c r="CX17" s="1008"/>
      <c r="CY17" s="1008"/>
      <c r="CZ17" s="1008"/>
      <c r="DA17" s="1008"/>
      <c r="DB17" s="1008"/>
      <c r="DC17" s="1008"/>
      <c r="DD17" s="1008"/>
      <c r="DE17" s="1008"/>
      <c r="DF17" s="1008"/>
      <c r="DG17" s="1008"/>
      <c r="DH17" s="1008">
        <f>+'[18]OCTUBRE 2015'!$H$493+'[18]OCTUBRE 2015'!$H$519+'[18]OCTUBRE 2015'!$H$527+'[18]OCTUBRE 2015'!$H$552+'[18]OCTUBRE 2015'!$H$635+'[18]OCTUBRE 2015'!$H$699+'[18]OCTUBRE 2015'!$H$750+'[18]OCTUBRE 2015'!$H$756+'[18]OCTUBRE 2015'!$H$769+'[18]OCTUBRE 2015'!$H$816+'[18]OCTUBRE 2015'!$H$856</f>
        <v>66725364</v>
      </c>
      <c r="DI17" s="1011">
        <f t="shared" si="15"/>
        <v>0.26610250622652565</v>
      </c>
      <c r="DJ17" s="1008">
        <f t="shared" si="16"/>
        <v>135691953</v>
      </c>
      <c r="DK17" s="1008">
        <f t="shared" si="17"/>
        <v>0</v>
      </c>
      <c r="DL17" s="1008">
        <f t="shared" si="17"/>
        <v>0</v>
      </c>
      <c r="DM17" s="1008"/>
      <c r="DN17" s="1008">
        <f t="shared" si="18"/>
        <v>0</v>
      </c>
      <c r="DO17" s="1008">
        <f t="shared" si="18"/>
        <v>0</v>
      </c>
      <c r="DP17" s="1008">
        <f t="shared" si="18"/>
        <v>82493698</v>
      </c>
      <c r="DQ17" s="1008">
        <f t="shared" si="18"/>
        <v>0</v>
      </c>
      <c r="DR17" s="1008"/>
      <c r="DS17" s="1008">
        <f t="shared" si="19"/>
        <v>0</v>
      </c>
      <c r="DT17" s="1008">
        <f t="shared" si="19"/>
        <v>0</v>
      </c>
      <c r="DU17" s="1008"/>
      <c r="DV17" s="1008">
        <f t="shared" si="20"/>
        <v>0</v>
      </c>
      <c r="DW17" s="1008">
        <f t="shared" si="20"/>
        <v>0</v>
      </c>
      <c r="DX17" s="1008">
        <f t="shared" si="20"/>
        <v>0</v>
      </c>
      <c r="DY17" s="1008">
        <f t="shared" si="21"/>
        <v>25000000</v>
      </c>
      <c r="DZ17" s="1008">
        <f t="shared" si="21"/>
        <v>0</v>
      </c>
      <c r="EA17" s="1008">
        <f t="shared" si="21"/>
        <v>0</v>
      </c>
      <c r="EB17" s="1008">
        <f t="shared" si="21"/>
        <v>0</v>
      </c>
      <c r="EC17" s="1008"/>
      <c r="ED17" s="1008">
        <f t="shared" si="22"/>
        <v>28198255</v>
      </c>
    </row>
    <row r="18" spans="1:134" ht="35.25" customHeight="1" x14ac:dyDescent="0.25">
      <c r="A18" s="1562"/>
      <c r="B18" s="1021"/>
      <c r="C18" s="1094" t="s">
        <v>4597</v>
      </c>
      <c r="D18" s="1019" t="s">
        <v>4698</v>
      </c>
      <c r="E18" s="1020">
        <v>310</v>
      </c>
      <c r="F18" s="1097" t="s">
        <v>4729</v>
      </c>
      <c r="G18" s="1400"/>
      <c r="H18" s="1061">
        <f t="shared" si="0"/>
        <v>197406342</v>
      </c>
      <c r="I18" s="1061">
        <f t="shared" si="1"/>
        <v>24578802</v>
      </c>
      <c r="J18" s="1400"/>
      <c r="K18" s="1573"/>
      <c r="L18" s="1573"/>
      <c r="M18" s="1093">
        <v>9</v>
      </c>
      <c r="N18" s="1093">
        <v>30</v>
      </c>
      <c r="O18" s="1093">
        <v>3</v>
      </c>
      <c r="P18" s="1093">
        <v>10</v>
      </c>
      <c r="Q18" s="1093">
        <v>80</v>
      </c>
      <c r="R18" s="1093">
        <v>8</v>
      </c>
      <c r="S18" s="1102"/>
      <c r="T18" s="1102"/>
      <c r="U18" s="1102"/>
      <c r="V18" s="1102"/>
      <c r="W18" s="1102"/>
      <c r="X18" s="1102"/>
      <c r="Y18" s="1008">
        <f t="shared" si="2"/>
        <v>221985144</v>
      </c>
      <c r="Z18" s="1008"/>
      <c r="AA18" s="1008"/>
      <c r="AB18" s="1008"/>
      <c r="AC18" s="1008"/>
      <c r="AD18" s="1008"/>
      <c r="AE18" s="1008">
        <v>30000000</v>
      </c>
      <c r="AF18" s="1008">
        <f>222000000-30014856</f>
        <v>191985144</v>
      </c>
      <c r="AG18" s="1008"/>
      <c r="AH18" s="1008"/>
      <c r="AI18" s="1008"/>
      <c r="AJ18" s="1008"/>
      <c r="AK18" s="1008"/>
      <c r="AL18" s="1008"/>
      <c r="AM18" s="1008"/>
      <c r="AN18" s="1008"/>
      <c r="AO18" s="1008"/>
      <c r="AP18" s="1008"/>
      <c r="AQ18" s="1008"/>
      <c r="AR18" s="1008"/>
      <c r="AS18" s="1008">
        <f>3000000-3000000</f>
        <v>0</v>
      </c>
      <c r="AT18" s="949"/>
      <c r="AU18" s="1011">
        <f t="shared" si="3"/>
        <v>0.90204538642459786</v>
      </c>
      <c r="AV18" s="1008">
        <f t="shared" si="4"/>
        <v>200240675</v>
      </c>
      <c r="AW18" s="1008"/>
      <c r="AX18" s="1008"/>
      <c r="AY18" s="1008"/>
      <c r="AZ18" s="1008"/>
      <c r="BA18" s="1008"/>
      <c r="BB18" s="1008">
        <f>+'[15]JULIO 2015'!$O$577</f>
        <v>30000000</v>
      </c>
      <c r="BC18" s="1008">
        <f>+'[18]OCTUBRE 2015'!$P$884</f>
        <v>170240675</v>
      </c>
      <c r="BD18" s="1008"/>
      <c r="BE18" s="1008"/>
      <c r="BF18" s="1008"/>
      <c r="BG18" s="1008"/>
      <c r="BH18" s="1008"/>
      <c r="BI18" s="1008"/>
      <c r="BJ18" s="1008"/>
      <c r="BK18" s="1008"/>
      <c r="BL18" s="1008"/>
      <c r="BM18" s="1008"/>
      <c r="BN18" s="1008"/>
      <c r="BO18" s="1008"/>
      <c r="BP18" s="1008"/>
      <c r="BQ18" s="1011">
        <f t="shared" si="5"/>
        <v>9.7954613575402139E-2</v>
      </c>
      <c r="BR18" s="1008">
        <f t="shared" si="6"/>
        <v>21744469</v>
      </c>
      <c r="BS18" s="1008">
        <f t="shared" si="7"/>
        <v>0</v>
      </c>
      <c r="BT18" s="1008">
        <f t="shared" si="8"/>
        <v>0</v>
      </c>
      <c r="BU18" s="1008"/>
      <c r="BV18" s="1008">
        <f t="shared" si="9"/>
        <v>0</v>
      </c>
      <c r="BW18" s="1008"/>
      <c r="BX18" s="1008">
        <f t="shared" si="10"/>
        <v>0</v>
      </c>
      <c r="BY18" s="1008">
        <f t="shared" si="10"/>
        <v>21744469</v>
      </c>
      <c r="BZ18" s="1008"/>
      <c r="CA18" s="1008">
        <f>+AH18-BE18</f>
        <v>0</v>
      </c>
      <c r="CB18" s="1008">
        <f>+AI18-BF18</f>
        <v>0</v>
      </c>
      <c r="CC18" s="1008">
        <f>+AJ18-BG18</f>
        <v>0</v>
      </c>
      <c r="CD18" s="1008">
        <f t="shared" si="11"/>
        <v>0</v>
      </c>
      <c r="CE18" s="1008">
        <f t="shared" si="11"/>
        <v>0</v>
      </c>
      <c r="CF18" s="1008">
        <f t="shared" si="11"/>
        <v>0</v>
      </c>
      <c r="CG18" s="1008">
        <f t="shared" si="11"/>
        <v>0</v>
      </c>
      <c r="CH18" s="1008">
        <f t="shared" si="11"/>
        <v>0</v>
      </c>
      <c r="CI18" s="1008">
        <f t="shared" si="11"/>
        <v>0</v>
      </c>
      <c r="CJ18" s="1008"/>
      <c r="CK18" s="1008"/>
      <c r="CL18" s="1008">
        <f t="shared" si="12"/>
        <v>0</v>
      </c>
      <c r="CM18" s="1011">
        <f t="shared" si="13"/>
        <v>0.889277266230032</v>
      </c>
      <c r="CN18" s="1008">
        <f t="shared" si="14"/>
        <v>197406342</v>
      </c>
      <c r="CO18" s="1008"/>
      <c r="CP18" s="1008"/>
      <c r="CQ18" s="1008"/>
      <c r="CR18" s="1008"/>
      <c r="CS18" s="1008"/>
      <c r="CT18" s="1008">
        <f>+'[18]OCTUBRE 2015'!$H$885+'[18]OCTUBRE 2015'!$H$886+'[18]OCTUBRE 2015'!$H$887+'[18]OCTUBRE 2015'!$H$888+'[18]OCTUBRE 2015'!$H$890+'[18]OCTUBRE 2015'!$H$892</f>
        <v>29177750</v>
      </c>
      <c r="CU18" s="1008">
        <f>+'[18]OCTUBRE 2015'!$H$882-CT18</f>
        <v>168228592</v>
      </c>
      <c r="CV18" s="1008"/>
      <c r="CW18" s="1008"/>
      <c r="CX18" s="1008"/>
      <c r="CY18" s="1008"/>
      <c r="CZ18" s="1008"/>
      <c r="DA18" s="1008"/>
      <c r="DB18" s="1008"/>
      <c r="DC18" s="1008"/>
      <c r="DD18" s="1008"/>
      <c r="DE18" s="1008"/>
      <c r="DF18" s="1008"/>
      <c r="DG18" s="1008"/>
      <c r="DH18" s="1008"/>
      <c r="DI18" s="1011">
        <f t="shared" si="15"/>
        <v>0.110722733769968</v>
      </c>
      <c r="DJ18" s="1008">
        <f t="shared" si="16"/>
        <v>24578802</v>
      </c>
      <c r="DK18" s="1008">
        <f t="shared" si="17"/>
        <v>0</v>
      </c>
      <c r="DL18" s="1008">
        <f t="shared" si="17"/>
        <v>0</v>
      </c>
      <c r="DM18" s="1008"/>
      <c r="DN18" s="1008">
        <f t="shared" si="18"/>
        <v>0</v>
      </c>
      <c r="DO18" s="1008">
        <f t="shared" si="18"/>
        <v>0</v>
      </c>
      <c r="DP18" s="1008">
        <f t="shared" si="18"/>
        <v>822250</v>
      </c>
      <c r="DQ18" s="1008">
        <f t="shared" si="18"/>
        <v>23756552</v>
      </c>
      <c r="DR18" s="1008"/>
      <c r="DS18" s="1008">
        <f t="shared" si="19"/>
        <v>0</v>
      </c>
      <c r="DT18" s="1008">
        <f t="shared" si="19"/>
        <v>0</v>
      </c>
      <c r="DU18" s="1008"/>
      <c r="DV18" s="1008">
        <f t="shared" si="20"/>
        <v>0</v>
      </c>
      <c r="DW18" s="1008">
        <f t="shared" si="20"/>
        <v>0</v>
      </c>
      <c r="DX18" s="1008">
        <f t="shared" si="20"/>
        <v>0</v>
      </c>
      <c r="DY18" s="1008">
        <f t="shared" si="21"/>
        <v>0</v>
      </c>
      <c r="DZ18" s="1008">
        <f t="shared" si="21"/>
        <v>0</v>
      </c>
      <c r="EA18" s="1008">
        <f t="shared" si="21"/>
        <v>0</v>
      </c>
      <c r="EB18" s="1008">
        <f t="shared" si="21"/>
        <v>0</v>
      </c>
      <c r="EC18" s="1008"/>
      <c r="ED18" s="1008">
        <f t="shared" si="22"/>
        <v>0</v>
      </c>
    </row>
    <row r="19" spans="1:134" ht="36" customHeight="1" x14ac:dyDescent="0.25">
      <c r="A19" s="1562"/>
      <c r="B19" s="1021"/>
      <c r="C19" s="1094" t="s">
        <v>4568</v>
      </c>
      <c r="D19" s="1019" t="s">
        <v>4567</v>
      </c>
      <c r="E19" s="1020">
        <v>310</v>
      </c>
      <c r="F19" s="1097" t="s">
        <v>4660</v>
      </c>
      <c r="G19" s="1400"/>
      <c r="H19" s="1061">
        <f t="shared" si="0"/>
        <v>88647184</v>
      </c>
      <c r="I19" s="1061">
        <f t="shared" si="1"/>
        <v>52352816</v>
      </c>
      <c r="J19" s="1400"/>
      <c r="K19" s="1573"/>
      <c r="L19" s="1573"/>
      <c r="M19" s="1093">
        <v>39</v>
      </c>
      <c r="N19" s="1093">
        <v>0</v>
      </c>
      <c r="O19" s="1093">
        <v>0</v>
      </c>
      <c r="P19" s="1093">
        <v>89</v>
      </c>
      <c r="Q19" s="1093">
        <v>0</v>
      </c>
      <c r="R19" s="1093">
        <v>0</v>
      </c>
      <c r="S19" s="1102"/>
      <c r="T19" s="1102"/>
      <c r="U19" s="1102"/>
      <c r="V19" s="1102"/>
      <c r="W19" s="1102"/>
      <c r="X19" s="1102"/>
      <c r="Y19" s="1008">
        <f t="shared" si="2"/>
        <v>141000000</v>
      </c>
      <c r="Z19" s="1008"/>
      <c r="AA19" s="1008">
        <f>144000000-144000000</f>
        <v>0</v>
      </c>
      <c r="AB19" s="1008"/>
      <c r="AC19" s="1008"/>
      <c r="AD19" s="1008"/>
      <c r="AE19" s="1008"/>
      <c r="AF19" s="1008">
        <f>144000000-64000000+50000000</f>
        <v>130000000</v>
      </c>
      <c r="AG19" s="1008"/>
      <c r="AH19" s="1008"/>
      <c r="AI19" s="1008"/>
      <c r="AJ19" s="1008"/>
      <c r="AK19" s="1008"/>
      <c r="AL19" s="1008"/>
      <c r="AM19" s="1008"/>
      <c r="AN19" s="1008">
        <f>11000000</f>
        <v>11000000</v>
      </c>
      <c r="AO19" s="1008"/>
      <c r="AP19" s="1008"/>
      <c r="AQ19" s="1008"/>
      <c r="AR19" s="1008"/>
      <c r="AS19" s="1008"/>
      <c r="AT19" s="949"/>
      <c r="AU19" s="1011">
        <f t="shared" si="3"/>
        <v>0.66617021276595745</v>
      </c>
      <c r="AV19" s="1008">
        <f t="shared" si="4"/>
        <v>93930000</v>
      </c>
      <c r="AW19" s="1008"/>
      <c r="AX19" s="1008"/>
      <c r="AY19" s="1008"/>
      <c r="AZ19" s="1008"/>
      <c r="BA19" s="1008"/>
      <c r="BB19" s="1008"/>
      <c r="BC19" s="1008">
        <f>+'[18]OCTUBRE 2015'!$P$916</f>
        <v>93930000</v>
      </c>
      <c r="BD19" s="1008"/>
      <c r="BE19" s="1008"/>
      <c r="BF19" s="1008"/>
      <c r="BG19" s="1008"/>
      <c r="BH19" s="1008"/>
      <c r="BI19" s="1008"/>
      <c r="BJ19" s="1008"/>
      <c r="BK19" s="1008"/>
      <c r="BL19" s="1008"/>
      <c r="BM19" s="1008"/>
      <c r="BN19" s="1008"/>
      <c r="BO19" s="1008"/>
      <c r="BP19" s="1008"/>
      <c r="BQ19" s="1011">
        <f t="shared" si="5"/>
        <v>0.33382978723404255</v>
      </c>
      <c r="BR19" s="1008">
        <f t="shared" si="6"/>
        <v>47070000</v>
      </c>
      <c r="BS19" s="1008">
        <f t="shared" si="7"/>
        <v>0</v>
      </c>
      <c r="BT19" s="1008">
        <f t="shared" ref="BT19:BT33" si="23">AA19-AX19</f>
        <v>0</v>
      </c>
      <c r="BU19" s="1008"/>
      <c r="BV19" s="1008">
        <f t="shared" si="9"/>
        <v>0</v>
      </c>
      <c r="BW19" s="1008"/>
      <c r="BX19" s="1008">
        <f t="shared" si="10"/>
        <v>0</v>
      </c>
      <c r="BY19" s="1008">
        <f t="shared" si="10"/>
        <v>36070000</v>
      </c>
      <c r="BZ19" s="1008"/>
      <c r="CA19" s="1008"/>
      <c r="CB19" s="1008"/>
      <c r="CC19" s="1008"/>
      <c r="CD19" s="1008">
        <f t="shared" si="11"/>
        <v>0</v>
      </c>
      <c r="CE19" s="1008">
        <f t="shared" si="11"/>
        <v>0</v>
      </c>
      <c r="CF19" s="1008">
        <f t="shared" si="11"/>
        <v>0</v>
      </c>
      <c r="CG19" s="1008">
        <f t="shared" si="11"/>
        <v>11000000</v>
      </c>
      <c r="CH19" s="1008">
        <f t="shared" si="11"/>
        <v>0</v>
      </c>
      <c r="CI19" s="1008">
        <f t="shared" si="11"/>
        <v>0</v>
      </c>
      <c r="CJ19" s="1008"/>
      <c r="CK19" s="1008"/>
      <c r="CL19" s="1008">
        <f t="shared" si="12"/>
        <v>0</v>
      </c>
      <c r="CM19" s="1011">
        <f t="shared" si="13"/>
        <v>0.62870343262411343</v>
      </c>
      <c r="CN19" s="1008">
        <f t="shared" si="14"/>
        <v>88647184</v>
      </c>
      <c r="CO19" s="1008"/>
      <c r="CP19" s="1008"/>
      <c r="CQ19" s="1008"/>
      <c r="CR19" s="1008"/>
      <c r="CS19" s="1008"/>
      <c r="CT19" s="1008"/>
      <c r="CU19" s="1008">
        <f>+'[18]OCTUBRE 2015'!$H$914</f>
        <v>88647184</v>
      </c>
      <c r="CV19" s="1008"/>
      <c r="CW19" s="1008"/>
      <c r="CX19" s="1008"/>
      <c r="CY19" s="1008"/>
      <c r="CZ19" s="1008"/>
      <c r="DA19" s="1008"/>
      <c r="DB19" s="1008"/>
      <c r="DC19" s="1008"/>
      <c r="DD19" s="1008"/>
      <c r="DE19" s="1008"/>
      <c r="DF19" s="1008"/>
      <c r="DG19" s="1008"/>
      <c r="DH19" s="1008"/>
      <c r="DI19" s="1011">
        <f t="shared" si="15"/>
        <v>0.37129656737588657</v>
      </c>
      <c r="DJ19" s="1008">
        <f t="shared" si="16"/>
        <v>52352816</v>
      </c>
      <c r="DK19" s="1008">
        <f t="shared" si="17"/>
        <v>0</v>
      </c>
      <c r="DL19" s="1008">
        <f t="shared" si="17"/>
        <v>0</v>
      </c>
      <c r="DM19" s="1008"/>
      <c r="DN19" s="1008">
        <f t="shared" si="18"/>
        <v>0</v>
      </c>
      <c r="DO19" s="1008">
        <f t="shared" si="18"/>
        <v>0</v>
      </c>
      <c r="DP19" s="1008">
        <f t="shared" si="18"/>
        <v>0</v>
      </c>
      <c r="DQ19" s="1008">
        <f t="shared" si="18"/>
        <v>41352816</v>
      </c>
      <c r="DR19" s="1008"/>
      <c r="DS19" s="1008">
        <f t="shared" si="19"/>
        <v>0</v>
      </c>
      <c r="DT19" s="1008">
        <f t="shared" si="19"/>
        <v>0</v>
      </c>
      <c r="DU19" s="1008"/>
      <c r="DV19" s="1008">
        <f t="shared" si="20"/>
        <v>0</v>
      </c>
      <c r="DW19" s="1008">
        <f t="shared" si="20"/>
        <v>0</v>
      </c>
      <c r="DX19" s="1008">
        <f t="shared" si="20"/>
        <v>0</v>
      </c>
      <c r="DY19" s="1008">
        <f t="shared" si="21"/>
        <v>11000000</v>
      </c>
      <c r="DZ19" s="1008">
        <f t="shared" si="21"/>
        <v>0</v>
      </c>
      <c r="EA19" s="1008">
        <f t="shared" si="21"/>
        <v>0</v>
      </c>
      <c r="EB19" s="1008">
        <f t="shared" si="21"/>
        <v>0</v>
      </c>
      <c r="EC19" s="1008"/>
      <c r="ED19" s="1008">
        <f t="shared" si="22"/>
        <v>0</v>
      </c>
    </row>
    <row r="20" spans="1:134" ht="34.5" customHeight="1" x14ac:dyDescent="0.25">
      <c r="A20" s="1562"/>
      <c r="B20" s="1021"/>
      <c r="C20" s="1094" t="s">
        <v>4569</v>
      </c>
      <c r="D20" s="1019" t="s">
        <v>4699</v>
      </c>
      <c r="E20" s="1020">
        <v>310</v>
      </c>
      <c r="F20" s="1097" t="s">
        <v>4660</v>
      </c>
      <c r="G20" s="1400"/>
      <c r="H20" s="1061">
        <f t="shared" si="0"/>
        <v>0</v>
      </c>
      <c r="I20" s="1061">
        <f t="shared" si="1"/>
        <v>0</v>
      </c>
      <c r="J20" s="1400"/>
      <c r="K20" s="1573"/>
      <c r="L20" s="1573"/>
      <c r="M20" s="1093">
        <v>0</v>
      </c>
      <c r="N20" s="1093">
        <v>0</v>
      </c>
      <c r="O20" s="1093">
        <v>0</v>
      </c>
      <c r="P20" s="1093">
        <v>0</v>
      </c>
      <c r="Q20" s="1093">
        <v>0</v>
      </c>
      <c r="R20" s="1093">
        <v>0</v>
      </c>
      <c r="S20" s="1102"/>
      <c r="T20" s="1102"/>
      <c r="U20" s="1102"/>
      <c r="V20" s="1102"/>
      <c r="W20" s="1102"/>
      <c r="X20" s="1102"/>
      <c r="Y20" s="1008">
        <f t="shared" si="2"/>
        <v>0</v>
      </c>
      <c r="Z20" s="149"/>
      <c r="AA20" s="944"/>
      <c r="AB20" s="944"/>
      <c r="AC20" s="944"/>
      <c r="AD20" s="944"/>
      <c r="AE20" s="944"/>
      <c r="AF20" s="1008">
        <f>4000000-4000000</f>
        <v>0</v>
      </c>
      <c r="AG20" s="944"/>
      <c r="AH20" s="149"/>
      <c r="AI20" s="149"/>
      <c r="AJ20" s="149"/>
      <c r="AK20" s="149"/>
      <c r="AL20" s="149"/>
      <c r="AM20" s="149"/>
      <c r="AN20" s="1008">
        <f>11000000-11000000</f>
        <v>0</v>
      </c>
      <c r="AO20" s="149"/>
      <c r="AP20" s="149"/>
      <c r="AQ20" s="149"/>
      <c r="AR20" s="149"/>
      <c r="AS20" s="944"/>
      <c r="AT20" s="949"/>
      <c r="AU20" s="1011" t="e">
        <f t="shared" si="3"/>
        <v>#DIV/0!</v>
      </c>
      <c r="AV20" s="1008">
        <f t="shared" si="4"/>
        <v>0</v>
      </c>
      <c r="AW20" s="1008"/>
      <c r="AX20" s="1008"/>
      <c r="AY20" s="1008"/>
      <c r="AZ20" s="1008"/>
      <c r="BA20" s="1008"/>
      <c r="BB20" s="1008"/>
      <c r="BC20" s="1008"/>
      <c r="BD20" s="1008"/>
      <c r="BE20" s="1008"/>
      <c r="BF20" s="1008"/>
      <c r="BG20" s="1008"/>
      <c r="BH20" s="1008"/>
      <c r="BI20" s="1008"/>
      <c r="BJ20" s="1008"/>
      <c r="BK20" s="1008"/>
      <c r="BL20" s="1008"/>
      <c r="BM20" s="1008"/>
      <c r="BN20" s="1008"/>
      <c r="BO20" s="1008"/>
      <c r="BP20" s="1008"/>
      <c r="BQ20" s="1011" t="e">
        <f t="shared" si="5"/>
        <v>#DIV/0!</v>
      </c>
      <c r="BR20" s="1008">
        <f t="shared" si="6"/>
        <v>0</v>
      </c>
      <c r="BS20" s="1008">
        <f t="shared" si="7"/>
        <v>0</v>
      </c>
      <c r="BT20" s="1008">
        <f t="shared" si="23"/>
        <v>0</v>
      </c>
      <c r="BU20" s="1008"/>
      <c r="BV20" s="1008">
        <f t="shared" si="9"/>
        <v>0</v>
      </c>
      <c r="BW20" s="1008"/>
      <c r="BX20" s="1008">
        <f t="shared" si="10"/>
        <v>0</v>
      </c>
      <c r="BY20" s="1008">
        <f t="shared" si="10"/>
        <v>0</v>
      </c>
      <c r="BZ20" s="1008"/>
      <c r="CA20" s="1008"/>
      <c r="CB20" s="1008"/>
      <c r="CC20" s="1008"/>
      <c r="CD20" s="1008">
        <f t="shared" ref="CD20:CI33" si="24">+AK20-BH20</f>
        <v>0</v>
      </c>
      <c r="CE20" s="1008">
        <f t="shared" si="24"/>
        <v>0</v>
      </c>
      <c r="CF20" s="1008">
        <f t="shared" si="24"/>
        <v>0</v>
      </c>
      <c r="CG20" s="1008">
        <f t="shared" si="24"/>
        <v>0</v>
      </c>
      <c r="CH20" s="1008">
        <f t="shared" si="24"/>
        <v>0</v>
      </c>
      <c r="CI20" s="1008">
        <f t="shared" si="24"/>
        <v>0</v>
      </c>
      <c r="CJ20" s="1008"/>
      <c r="CK20" s="1008"/>
      <c r="CL20" s="1008">
        <f t="shared" si="12"/>
        <v>0</v>
      </c>
      <c r="CM20" s="1011" t="e">
        <f t="shared" si="13"/>
        <v>#DIV/0!</v>
      </c>
      <c r="CN20" s="1008">
        <f t="shared" si="14"/>
        <v>0</v>
      </c>
      <c r="CO20" s="1008"/>
      <c r="CP20" s="1008"/>
      <c r="CQ20" s="1008"/>
      <c r="CR20" s="1008"/>
      <c r="CS20" s="1008"/>
      <c r="CT20" s="1008"/>
      <c r="CU20" s="1008"/>
      <c r="CV20" s="1008"/>
      <c r="CW20" s="1008"/>
      <c r="CX20" s="1008"/>
      <c r="CY20" s="1008"/>
      <c r="CZ20" s="1008"/>
      <c r="DA20" s="1008"/>
      <c r="DB20" s="1008"/>
      <c r="DC20" s="1008"/>
      <c r="DD20" s="1008"/>
      <c r="DE20" s="1008"/>
      <c r="DF20" s="1008"/>
      <c r="DG20" s="1008"/>
      <c r="DH20" s="1008"/>
      <c r="DI20" s="1011" t="e">
        <f t="shared" si="15"/>
        <v>#DIV/0!</v>
      </c>
      <c r="DJ20" s="1008">
        <f t="shared" si="16"/>
        <v>0</v>
      </c>
      <c r="DK20" s="1008">
        <f t="shared" si="17"/>
        <v>0</v>
      </c>
      <c r="DL20" s="1008">
        <f t="shared" si="17"/>
        <v>0</v>
      </c>
      <c r="DM20" s="1008"/>
      <c r="DN20" s="1008">
        <f t="shared" si="18"/>
        <v>0</v>
      </c>
      <c r="DO20" s="1008">
        <f t="shared" si="18"/>
        <v>0</v>
      </c>
      <c r="DP20" s="1008">
        <f t="shared" si="18"/>
        <v>0</v>
      </c>
      <c r="DQ20" s="1008">
        <f t="shared" si="18"/>
        <v>0</v>
      </c>
      <c r="DR20" s="1008"/>
      <c r="DS20" s="1008">
        <f t="shared" si="19"/>
        <v>0</v>
      </c>
      <c r="DT20" s="1008">
        <f t="shared" si="19"/>
        <v>0</v>
      </c>
      <c r="DU20" s="1008"/>
      <c r="DV20" s="1008">
        <f t="shared" si="20"/>
        <v>0</v>
      </c>
      <c r="DW20" s="1008">
        <f t="shared" si="20"/>
        <v>0</v>
      </c>
      <c r="DX20" s="1008">
        <f t="shared" si="20"/>
        <v>0</v>
      </c>
      <c r="DY20" s="1008">
        <f t="shared" si="21"/>
        <v>0</v>
      </c>
      <c r="DZ20" s="1008">
        <f t="shared" si="21"/>
        <v>0</v>
      </c>
      <c r="EA20" s="1008">
        <f t="shared" si="21"/>
        <v>0</v>
      </c>
      <c r="EB20" s="1008">
        <f t="shared" si="21"/>
        <v>0</v>
      </c>
      <c r="EC20" s="1008"/>
      <c r="ED20" s="1008">
        <f t="shared" si="22"/>
        <v>0</v>
      </c>
    </row>
    <row r="21" spans="1:134" ht="48.75" customHeight="1" x14ac:dyDescent="0.25">
      <c r="A21" s="1562"/>
      <c r="B21" s="1021"/>
      <c r="C21" s="1094" t="s">
        <v>4570</v>
      </c>
      <c r="D21" s="1019" t="s">
        <v>4566</v>
      </c>
      <c r="E21" s="1020">
        <v>310</v>
      </c>
      <c r="F21" s="1097" t="s">
        <v>4660</v>
      </c>
      <c r="G21" s="1401"/>
      <c r="H21" s="1061">
        <f t="shared" si="0"/>
        <v>0</v>
      </c>
      <c r="I21" s="1061">
        <f t="shared" si="1"/>
        <v>0</v>
      </c>
      <c r="J21" s="1401"/>
      <c r="K21" s="1284"/>
      <c r="L21" s="1284"/>
      <c r="M21" s="1093">
        <v>0</v>
      </c>
      <c r="N21" s="1093">
        <v>0</v>
      </c>
      <c r="O21" s="1093">
        <v>0</v>
      </c>
      <c r="P21" s="1093">
        <v>0</v>
      </c>
      <c r="Q21" s="1093">
        <v>0</v>
      </c>
      <c r="R21" s="1093">
        <v>0</v>
      </c>
      <c r="S21" s="1103"/>
      <c r="T21" s="1103"/>
      <c r="U21" s="1103"/>
      <c r="V21" s="1103"/>
      <c r="W21" s="1103"/>
      <c r="X21" s="1103"/>
      <c r="Y21" s="1008">
        <f t="shared" si="2"/>
        <v>0</v>
      </c>
      <c r="Z21" s="149"/>
      <c r="AA21" s="944">
        <f>36000000-36000000</f>
        <v>0</v>
      </c>
      <c r="AB21" s="944"/>
      <c r="AC21" s="944"/>
      <c r="AD21" s="944"/>
      <c r="AE21" s="944"/>
      <c r="AF21" s="1008">
        <f>34000000+36000000-20000000-50000000</f>
        <v>0</v>
      </c>
      <c r="AG21" s="944"/>
      <c r="AH21" s="149"/>
      <c r="AI21" s="149"/>
      <c r="AJ21" s="149"/>
      <c r="AK21" s="149"/>
      <c r="AL21" s="149"/>
      <c r="AM21" s="149"/>
      <c r="AN21" s="149"/>
      <c r="AO21" s="149"/>
      <c r="AP21" s="149"/>
      <c r="AQ21" s="149"/>
      <c r="AR21" s="149"/>
      <c r="AS21" s="944"/>
      <c r="AT21" s="949"/>
      <c r="AU21" s="1011" t="e">
        <f t="shared" si="3"/>
        <v>#DIV/0!</v>
      </c>
      <c r="AV21" s="1008">
        <f t="shared" si="4"/>
        <v>0</v>
      </c>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11"/>
      <c r="BR21" s="1008">
        <f t="shared" si="6"/>
        <v>0</v>
      </c>
      <c r="BS21" s="1008">
        <f t="shared" si="7"/>
        <v>0</v>
      </c>
      <c r="BT21" s="1008">
        <f t="shared" si="23"/>
        <v>0</v>
      </c>
      <c r="BU21" s="1008"/>
      <c r="BV21" s="1008">
        <f t="shared" si="9"/>
        <v>0</v>
      </c>
      <c r="BW21" s="1008"/>
      <c r="BX21" s="1008">
        <f t="shared" si="10"/>
        <v>0</v>
      </c>
      <c r="BY21" s="1008">
        <f t="shared" si="10"/>
        <v>0</v>
      </c>
      <c r="BZ21" s="1008"/>
      <c r="CA21" s="1008"/>
      <c r="CB21" s="1008"/>
      <c r="CC21" s="1008"/>
      <c r="CD21" s="1008">
        <f t="shared" si="24"/>
        <v>0</v>
      </c>
      <c r="CE21" s="1008">
        <f t="shared" si="24"/>
        <v>0</v>
      </c>
      <c r="CF21" s="1008">
        <f t="shared" si="24"/>
        <v>0</v>
      </c>
      <c r="CG21" s="1008">
        <f t="shared" si="24"/>
        <v>0</v>
      </c>
      <c r="CH21" s="1008">
        <f t="shared" si="24"/>
        <v>0</v>
      </c>
      <c r="CI21" s="1008">
        <f t="shared" si="24"/>
        <v>0</v>
      </c>
      <c r="CJ21" s="1008"/>
      <c r="CK21" s="1008"/>
      <c r="CL21" s="1008">
        <f t="shared" si="12"/>
        <v>0</v>
      </c>
      <c r="CM21" s="1011" t="e">
        <f t="shared" si="13"/>
        <v>#DIV/0!</v>
      </c>
      <c r="CN21" s="1008">
        <f t="shared" si="14"/>
        <v>0</v>
      </c>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11" t="e">
        <f t="shared" si="15"/>
        <v>#DIV/0!</v>
      </c>
      <c r="DJ21" s="1008">
        <f t="shared" si="16"/>
        <v>0</v>
      </c>
      <c r="DK21" s="1008">
        <f t="shared" si="17"/>
        <v>0</v>
      </c>
      <c r="DL21" s="1008">
        <f t="shared" si="17"/>
        <v>0</v>
      </c>
      <c r="DM21" s="1008"/>
      <c r="DN21" s="1008">
        <f t="shared" si="18"/>
        <v>0</v>
      </c>
      <c r="DO21" s="1008">
        <f t="shared" si="18"/>
        <v>0</v>
      </c>
      <c r="DP21" s="1008">
        <f t="shared" si="18"/>
        <v>0</v>
      </c>
      <c r="DQ21" s="1008">
        <f t="shared" si="18"/>
        <v>0</v>
      </c>
      <c r="DR21" s="1008"/>
      <c r="DS21" s="1008">
        <f t="shared" si="19"/>
        <v>0</v>
      </c>
      <c r="DT21" s="1008">
        <f t="shared" si="19"/>
        <v>0</v>
      </c>
      <c r="DU21" s="1008"/>
      <c r="DV21" s="1008">
        <f t="shared" si="20"/>
        <v>0</v>
      </c>
      <c r="DW21" s="1008">
        <f t="shared" si="20"/>
        <v>0</v>
      </c>
      <c r="DX21" s="1008">
        <f t="shared" si="20"/>
        <v>0</v>
      </c>
      <c r="DY21" s="1008">
        <f t="shared" si="21"/>
        <v>0</v>
      </c>
      <c r="DZ21" s="1008">
        <f t="shared" si="21"/>
        <v>0</v>
      </c>
      <c r="EA21" s="1008">
        <f t="shared" si="21"/>
        <v>0</v>
      </c>
      <c r="EB21" s="1008">
        <f t="shared" si="21"/>
        <v>0</v>
      </c>
      <c r="EC21" s="1008"/>
      <c r="ED21" s="1008">
        <f t="shared" si="22"/>
        <v>0</v>
      </c>
    </row>
    <row r="22" spans="1:134" ht="60" customHeight="1" x14ac:dyDescent="0.25">
      <c r="A22" s="1562"/>
      <c r="B22" s="1021" t="s">
        <v>4302</v>
      </c>
      <c r="C22" s="1094" t="s">
        <v>4400</v>
      </c>
      <c r="D22" s="1019" t="s">
        <v>4572</v>
      </c>
      <c r="E22" s="1020">
        <v>510</v>
      </c>
      <c r="F22" s="1097" t="s">
        <v>4671</v>
      </c>
      <c r="G22" s="1399">
        <v>259000000</v>
      </c>
      <c r="H22" s="1061">
        <f t="shared" si="0"/>
        <v>57842833</v>
      </c>
      <c r="I22" s="1061">
        <f t="shared" si="1"/>
        <v>49157167</v>
      </c>
      <c r="J22" s="1399" t="s">
        <v>4766</v>
      </c>
      <c r="K22" s="1095" t="s">
        <v>4768</v>
      </c>
      <c r="L22" s="1093" t="s">
        <v>4767</v>
      </c>
      <c r="M22" s="1093">
        <v>19</v>
      </c>
      <c r="N22" s="1093">
        <v>10</v>
      </c>
      <c r="O22" s="1093">
        <v>2</v>
      </c>
      <c r="P22" s="1093">
        <v>19</v>
      </c>
      <c r="Q22" s="1093">
        <v>50</v>
      </c>
      <c r="R22" s="1093">
        <v>9</v>
      </c>
      <c r="S22" s="1101"/>
      <c r="T22" s="1101"/>
      <c r="U22" s="1101"/>
      <c r="V22" s="1101"/>
      <c r="W22" s="1101"/>
      <c r="X22" s="1101"/>
      <c r="Y22" s="1008">
        <f t="shared" si="2"/>
        <v>107000000</v>
      </c>
      <c r="Z22" s="1008"/>
      <c r="AA22" s="1008"/>
      <c r="AB22" s="1008"/>
      <c r="AC22" s="1008"/>
      <c r="AD22" s="1008"/>
      <c r="AE22" s="1008"/>
      <c r="AF22" s="1008"/>
      <c r="AG22" s="1008"/>
      <c r="AH22" s="1008"/>
      <c r="AI22" s="1008"/>
      <c r="AJ22" s="1008"/>
      <c r="AK22" s="1008"/>
      <c r="AL22" s="1008"/>
      <c r="AM22" s="1008"/>
      <c r="AN22" s="1008"/>
      <c r="AO22" s="1008">
        <v>50000000</v>
      </c>
      <c r="AP22" s="1008"/>
      <c r="AQ22" s="1008"/>
      <c r="AR22" s="1008"/>
      <c r="AS22" s="1008">
        <f>9000000+5000000+15000000+5000000+5000000+15000000+3000000</f>
        <v>57000000</v>
      </c>
      <c r="AU22" s="1011">
        <f t="shared" si="3"/>
        <v>0.99342156074766352</v>
      </c>
      <c r="AV22" s="1008">
        <f t="shared" si="4"/>
        <v>106296107</v>
      </c>
      <c r="AW22" s="1008"/>
      <c r="AX22" s="1008"/>
      <c r="AY22" s="1008"/>
      <c r="AZ22" s="1008"/>
      <c r="BA22" s="1008"/>
      <c r="BB22" s="1008"/>
      <c r="BC22" s="1008"/>
      <c r="BD22" s="1008"/>
      <c r="BE22" s="1008"/>
      <c r="BF22" s="1008"/>
      <c r="BG22" s="1008"/>
      <c r="BH22" s="1008"/>
      <c r="BI22" s="1008"/>
      <c r="BJ22" s="1008"/>
      <c r="BK22" s="1008"/>
      <c r="BL22" s="1008">
        <f>+'[8]FEBRERO 2015'!$X$852</f>
        <v>50000000</v>
      </c>
      <c r="BM22" s="1008"/>
      <c r="BN22" s="1008"/>
      <c r="BO22" s="1008"/>
      <c r="BP22" s="1008">
        <f>+'[17]SEPTIEMBRE 2015'!$AD$2528</f>
        <v>56296107</v>
      </c>
      <c r="BQ22" s="1011"/>
      <c r="BR22" s="1008">
        <f t="shared" si="6"/>
        <v>703893</v>
      </c>
      <c r="BS22" s="1008">
        <f t="shared" si="7"/>
        <v>0</v>
      </c>
      <c r="BT22" s="1008">
        <f t="shared" si="23"/>
        <v>0</v>
      </c>
      <c r="BU22" s="1008"/>
      <c r="BV22" s="1008">
        <f t="shared" si="9"/>
        <v>0</v>
      </c>
      <c r="BW22" s="1008"/>
      <c r="BX22" s="1008">
        <f t="shared" si="10"/>
        <v>0</v>
      </c>
      <c r="BY22" s="1008">
        <f t="shared" si="10"/>
        <v>0</v>
      </c>
      <c r="BZ22" s="1008"/>
      <c r="CA22" s="1008"/>
      <c r="CB22" s="1008"/>
      <c r="CC22" s="1008"/>
      <c r="CD22" s="1008">
        <f t="shared" si="24"/>
        <v>0</v>
      </c>
      <c r="CE22" s="1008">
        <f t="shared" si="24"/>
        <v>0</v>
      </c>
      <c r="CF22" s="1008">
        <f t="shared" si="24"/>
        <v>0</v>
      </c>
      <c r="CG22" s="1008">
        <f t="shared" si="24"/>
        <v>0</v>
      </c>
      <c r="CH22" s="1008">
        <f t="shared" si="24"/>
        <v>0</v>
      </c>
      <c r="CI22" s="1008">
        <f t="shared" si="24"/>
        <v>0</v>
      </c>
      <c r="CJ22" s="1008"/>
      <c r="CK22" s="1008"/>
      <c r="CL22" s="1008">
        <f t="shared" si="12"/>
        <v>703893</v>
      </c>
      <c r="CM22" s="1011">
        <f t="shared" si="13"/>
        <v>0.54058722429906547</v>
      </c>
      <c r="CN22" s="1008">
        <f t="shared" si="14"/>
        <v>57842833</v>
      </c>
      <c r="CO22" s="1008"/>
      <c r="CP22" s="1008"/>
      <c r="CQ22" s="1008"/>
      <c r="CR22" s="1008"/>
      <c r="CS22" s="1008"/>
      <c r="CT22" s="1008"/>
      <c r="CU22" s="1008"/>
      <c r="CV22" s="1008"/>
      <c r="CW22" s="1008"/>
      <c r="CX22" s="1008"/>
      <c r="CY22" s="1008"/>
      <c r="CZ22" s="1008"/>
      <c r="DA22" s="1008"/>
      <c r="DB22" s="1008"/>
      <c r="DC22" s="1008"/>
      <c r="DD22" s="1008">
        <f>+'[18]OCTUBRE 2015'!$H$2971</f>
        <v>12411565</v>
      </c>
      <c r="DE22" s="1008"/>
      <c r="DF22" s="1008"/>
      <c r="DG22" s="1008"/>
      <c r="DH22" s="1008">
        <f>+'[18]OCTUBRE 2015'!$H$2941+'[18]OCTUBRE 2015'!$H$2952+'[18]OCTUBRE 2015'!$H$2955+'[18]OCTUBRE 2015'!$H$2979+'[18]OCTUBRE 2015'!$H$2982+'[18]OCTUBRE 2015'!$H$2983+'[18]OCTUBRE 2015'!$H$2985</f>
        <v>45431268</v>
      </c>
      <c r="DI22" s="1011">
        <f t="shared" si="15"/>
        <v>0.45941277570093453</v>
      </c>
      <c r="DJ22" s="1008">
        <f t="shared" si="16"/>
        <v>49157167</v>
      </c>
      <c r="DK22" s="1008">
        <f t="shared" si="17"/>
        <v>0</v>
      </c>
      <c r="DL22" s="1008">
        <f t="shared" si="17"/>
        <v>0</v>
      </c>
      <c r="DM22" s="1008"/>
      <c r="DN22" s="1008">
        <f t="shared" si="18"/>
        <v>0</v>
      </c>
      <c r="DO22" s="1008">
        <f t="shared" si="18"/>
        <v>0</v>
      </c>
      <c r="DP22" s="1008">
        <f t="shared" si="18"/>
        <v>0</v>
      </c>
      <c r="DQ22" s="1008">
        <f t="shared" si="18"/>
        <v>0</v>
      </c>
      <c r="DR22" s="1008"/>
      <c r="DS22" s="1008">
        <f t="shared" si="19"/>
        <v>0</v>
      </c>
      <c r="DT22" s="1008">
        <f t="shared" si="19"/>
        <v>0</v>
      </c>
      <c r="DU22" s="1008"/>
      <c r="DV22" s="1008">
        <f t="shared" si="20"/>
        <v>0</v>
      </c>
      <c r="DW22" s="1008">
        <f t="shared" si="20"/>
        <v>0</v>
      </c>
      <c r="DX22" s="1008">
        <f t="shared" si="20"/>
        <v>0</v>
      </c>
      <c r="DY22" s="1008">
        <f t="shared" si="21"/>
        <v>0</v>
      </c>
      <c r="DZ22" s="1008">
        <f t="shared" si="21"/>
        <v>37588435</v>
      </c>
      <c r="EA22" s="1008">
        <f t="shared" si="21"/>
        <v>0</v>
      </c>
      <c r="EB22" s="1008">
        <f t="shared" si="21"/>
        <v>0</v>
      </c>
      <c r="EC22" s="1008"/>
      <c r="ED22" s="1008">
        <f t="shared" si="22"/>
        <v>11568732</v>
      </c>
    </row>
    <row r="23" spans="1:134" ht="47.25" customHeight="1" x14ac:dyDescent="0.25">
      <c r="A23" s="1562"/>
      <c r="B23" s="1021"/>
      <c r="C23" s="1094" t="s">
        <v>4401</v>
      </c>
      <c r="D23" s="1019" t="s">
        <v>4571</v>
      </c>
      <c r="E23" s="1020">
        <v>510</v>
      </c>
      <c r="F23" s="1097" t="s">
        <v>4730</v>
      </c>
      <c r="G23" s="1401"/>
      <c r="H23" s="1061">
        <f t="shared" si="0"/>
        <v>170322247</v>
      </c>
      <c r="I23" s="1061">
        <f t="shared" si="1"/>
        <v>101877753</v>
      </c>
      <c r="J23" s="1401"/>
      <c r="K23" s="1096" t="s">
        <v>4769</v>
      </c>
      <c r="L23" s="1093" t="s">
        <v>4770</v>
      </c>
      <c r="M23" s="1093">
        <v>56</v>
      </c>
      <c r="N23" s="1093">
        <v>5</v>
      </c>
      <c r="O23" s="1093">
        <v>3</v>
      </c>
      <c r="P23" s="1093">
        <v>67</v>
      </c>
      <c r="Q23" s="1093">
        <v>71</v>
      </c>
      <c r="R23" s="1093">
        <v>47</v>
      </c>
      <c r="S23" s="1103"/>
      <c r="T23" s="1103"/>
      <c r="U23" s="1103"/>
      <c r="V23" s="1103"/>
      <c r="W23" s="1103"/>
      <c r="X23" s="1103"/>
      <c r="Y23" s="1008">
        <f t="shared" si="2"/>
        <v>272200000</v>
      </c>
      <c r="Z23" s="1008"/>
      <c r="AA23" s="1008"/>
      <c r="AB23" s="1008"/>
      <c r="AC23" s="1008"/>
      <c r="AD23" s="1008"/>
      <c r="AE23" s="1008"/>
      <c r="AF23" s="1008"/>
      <c r="AG23" s="1008"/>
      <c r="AH23" s="1008"/>
      <c r="AI23" s="1008"/>
      <c r="AJ23" s="1008"/>
      <c r="AK23" s="1008"/>
      <c r="AL23" s="1008"/>
      <c r="AM23" s="1008"/>
      <c r="AN23" s="1008">
        <f>100000000</f>
        <v>100000000</v>
      </c>
      <c r="AO23" s="1008">
        <v>170000000</v>
      </c>
      <c r="AP23" s="1008"/>
      <c r="AQ23" s="1008"/>
      <c r="AR23" s="1008"/>
      <c r="AS23" s="1008">
        <v>2200000</v>
      </c>
      <c r="AU23" s="1011">
        <f t="shared" si="3"/>
        <v>0.72653577149155035</v>
      </c>
      <c r="AV23" s="1008">
        <f t="shared" si="4"/>
        <v>197763037</v>
      </c>
      <c r="AW23" s="1008"/>
      <c r="AX23" s="1008"/>
      <c r="AY23" s="1008"/>
      <c r="AZ23" s="1008"/>
      <c r="BA23" s="1008"/>
      <c r="BB23" s="1008"/>
      <c r="BC23" s="1008"/>
      <c r="BD23" s="1008"/>
      <c r="BE23" s="1008"/>
      <c r="BF23" s="1008"/>
      <c r="BG23" s="1008"/>
      <c r="BH23" s="1008"/>
      <c r="BI23" s="1008"/>
      <c r="BJ23" s="1008"/>
      <c r="BK23" s="1008">
        <f>+'[18]OCTUBRE 2015'!$X$2991</f>
        <v>27763037</v>
      </c>
      <c r="BL23" s="1008">
        <f>+'[8]FEBRERO 2015'!$X$864</f>
        <v>170000000</v>
      </c>
      <c r="BM23" s="1008"/>
      <c r="BN23" s="1008"/>
      <c r="BO23" s="1008"/>
      <c r="BP23" s="1008"/>
      <c r="BQ23" s="1011" t="e">
        <f>1-AU21</f>
        <v>#DIV/0!</v>
      </c>
      <c r="BR23" s="1008">
        <f t="shared" si="6"/>
        <v>74436963</v>
      </c>
      <c r="BS23" s="1008">
        <f t="shared" si="7"/>
        <v>0</v>
      </c>
      <c r="BT23" s="1008">
        <f t="shared" si="23"/>
        <v>0</v>
      </c>
      <c r="BU23" s="1008"/>
      <c r="BV23" s="1008">
        <f t="shared" si="9"/>
        <v>0</v>
      </c>
      <c r="BW23" s="1008"/>
      <c r="BX23" s="1008">
        <f t="shared" si="10"/>
        <v>0</v>
      </c>
      <c r="BY23" s="1008">
        <f t="shared" si="10"/>
        <v>0</v>
      </c>
      <c r="BZ23" s="1008"/>
      <c r="CA23" s="1008"/>
      <c r="CB23" s="1008"/>
      <c r="CC23" s="1008"/>
      <c r="CD23" s="1008">
        <f t="shared" si="24"/>
        <v>0</v>
      </c>
      <c r="CE23" s="1008">
        <f t="shared" si="24"/>
        <v>0</v>
      </c>
      <c r="CF23" s="1008">
        <f t="shared" si="24"/>
        <v>0</v>
      </c>
      <c r="CG23" s="1008">
        <f t="shared" si="24"/>
        <v>72236963</v>
      </c>
      <c r="CH23" s="1008">
        <f t="shared" si="24"/>
        <v>0</v>
      </c>
      <c r="CI23" s="1008">
        <f t="shared" si="24"/>
        <v>0</v>
      </c>
      <c r="CJ23" s="1008"/>
      <c r="CK23" s="1008"/>
      <c r="CL23" s="1008">
        <f t="shared" si="12"/>
        <v>2200000</v>
      </c>
      <c r="CM23" s="1011">
        <f t="shared" si="13"/>
        <v>0.6257246399706099</v>
      </c>
      <c r="CN23" s="1008">
        <f t="shared" si="14"/>
        <v>170322247</v>
      </c>
      <c r="CO23" s="1008"/>
      <c r="CP23" s="1008"/>
      <c r="CQ23" s="1008"/>
      <c r="CR23" s="1008"/>
      <c r="CS23" s="1008"/>
      <c r="CT23" s="1008"/>
      <c r="CU23" s="1008"/>
      <c r="CV23" s="1008"/>
      <c r="CW23" s="1008"/>
      <c r="CX23" s="1008"/>
      <c r="CY23" s="1008"/>
      <c r="CZ23" s="1008"/>
      <c r="DA23" s="1008"/>
      <c r="DB23" s="1008"/>
      <c r="DC23" s="1008">
        <f>+'[18]OCTUBRE 2015'!$H$3030</f>
        <v>473037</v>
      </c>
      <c r="DD23" s="1008">
        <f>+'[18]OCTUBRE 2015'!$H$2992</f>
        <v>169849210</v>
      </c>
      <c r="DE23" s="1008"/>
      <c r="DF23" s="1008"/>
      <c r="DG23" s="1008"/>
      <c r="DH23" s="1008"/>
      <c r="DI23" s="1011">
        <f t="shared" si="15"/>
        <v>0.3742753600293901</v>
      </c>
      <c r="DJ23" s="1008">
        <f t="shared" si="16"/>
        <v>101877753</v>
      </c>
      <c r="DK23" s="1008">
        <f t="shared" si="17"/>
        <v>0</v>
      </c>
      <c r="DL23" s="1008">
        <f t="shared" si="17"/>
        <v>0</v>
      </c>
      <c r="DM23" s="1008"/>
      <c r="DN23" s="1008">
        <f t="shared" si="18"/>
        <v>0</v>
      </c>
      <c r="DO23" s="1008">
        <f t="shared" si="18"/>
        <v>0</v>
      </c>
      <c r="DP23" s="1008">
        <f t="shared" si="18"/>
        <v>0</v>
      </c>
      <c r="DQ23" s="1008">
        <f t="shared" si="18"/>
        <v>0</v>
      </c>
      <c r="DR23" s="1008"/>
      <c r="DS23" s="1008">
        <f t="shared" si="19"/>
        <v>0</v>
      </c>
      <c r="DT23" s="1008">
        <f t="shared" si="19"/>
        <v>0</v>
      </c>
      <c r="DU23" s="1008"/>
      <c r="DV23" s="1008">
        <f t="shared" si="20"/>
        <v>0</v>
      </c>
      <c r="DW23" s="1008">
        <f t="shared" si="20"/>
        <v>0</v>
      </c>
      <c r="DX23" s="1008">
        <f t="shared" si="20"/>
        <v>0</v>
      </c>
      <c r="DY23" s="1008">
        <f t="shared" si="21"/>
        <v>99526963</v>
      </c>
      <c r="DZ23" s="1008">
        <f t="shared" si="21"/>
        <v>150790</v>
      </c>
      <c r="EA23" s="1008">
        <f t="shared" si="21"/>
        <v>0</v>
      </c>
      <c r="EB23" s="1008">
        <f t="shared" si="21"/>
        <v>0</v>
      </c>
      <c r="EC23" s="1008"/>
      <c r="ED23" s="1008">
        <f t="shared" si="22"/>
        <v>2200000</v>
      </c>
    </row>
    <row r="24" spans="1:134" ht="62.25" customHeight="1" x14ac:dyDescent="0.25">
      <c r="A24" s="1562"/>
      <c r="B24" s="1066" t="s">
        <v>4303</v>
      </c>
      <c r="C24" s="1094" t="s">
        <v>4402</v>
      </c>
      <c r="D24" s="1019" t="s">
        <v>4573</v>
      </c>
      <c r="E24" s="1020">
        <v>510</v>
      </c>
      <c r="F24" s="1097" t="s">
        <v>4660</v>
      </c>
      <c r="G24" s="1399">
        <v>180000000</v>
      </c>
      <c r="H24" s="1061">
        <f t="shared" si="0"/>
        <v>90400770</v>
      </c>
      <c r="I24" s="1061">
        <f t="shared" si="1"/>
        <v>9599230</v>
      </c>
      <c r="J24" s="1399" t="s">
        <v>4771</v>
      </c>
      <c r="K24" s="1590">
        <v>1</v>
      </c>
      <c r="L24" s="1283" t="s">
        <v>4772</v>
      </c>
      <c r="M24" s="1093">
        <v>0</v>
      </c>
      <c r="N24" s="1093">
        <v>0</v>
      </c>
      <c r="O24" s="1093">
        <v>0</v>
      </c>
      <c r="P24" s="1093">
        <v>26</v>
      </c>
      <c r="Q24" s="1093">
        <v>41</v>
      </c>
      <c r="R24" s="1093">
        <v>11</v>
      </c>
      <c r="S24" s="1101"/>
      <c r="T24" s="1101"/>
      <c r="U24" s="1101"/>
      <c r="V24" s="1101"/>
      <c r="W24" s="1101"/>
      <c r="X24" s="1101"/>
      <c r="Y24" s="1008">
        <f t="shared" si="2"/>
        <v>100000000</v>
      </c>
      <c r="Z24" s="1008"/>
      <c r="AA24" s="1008"/>
      <c r="AB24" s="1008"/>
      <c r="AC24" s="1008"/>
      <c r="AD24" s="1008"/>
      <c r="AE24" s="1008">
        <v>100000000</v>
      </c>
      <c r="AF24" s="1008"/>
      <c r="AG24" s="1008"/>
      <c r="AH24" s="1008"/>
      <c r="AI24" s="1008"/>
      <c r="AJ24" s="1008"/>
      <c r="AK24" s="1008"/>
      <c r="AL24" s="1008"/>
      <c r="AM24" s="1008"/>
      <c r="AN24" s="1008"/>
      <c r="AO24" s="1008"/>
      <c r="AP24" s="1008"/>
      <c r="AQ24" s="1008"/>
      <c r="AR24" s="1008"/>
      <c r="AS24" s="1008"/>
      <c r="AU24" s="1011">
        <f t="shared" si="3"/>
        <v>0.95474791000000003</v>
      </c>
      <c r="AV24" s="1008">
        <f t="shared" si="4"/>
        <v>95474791</v>
      </c>
      <c r="AW24" s="1008"/>
      <c r="AX24" s="1008"/>
      <c r="AY24" s="1008"/>
      <c r="AZ24" s="1008"/>
      <c r="BA24" s="1008"/>
      <c r="BB24" s="1008">
        <f>+'[18]OCTUBRE 2015'!$O$3038</f>
        <v>95474791</v>
      </c>
      <c r="BC24" s="1008"/>
      <c r="BD24" s="1008"/>
      <c r="BE24" s="1008"/>
      <c r="BF24" s="1008"/>
      <c r="BG24" s="1008"/>
      <c r="BH24" s="1008"/>
      <c r="BI24" s="1008"/>
      <c r="BJ24" s="1008"/>
      <c r="BK24" s="1008"/>
      <c r="BL24" s="1008"/>
      <c r="BM24" s="1008"/>
      <c r="BN24" s="1008"/>
      <c r="BO24" s="1008"/>
      <c r="BP24" s="1008"/>
      <c r="BQ24" s="1011">
        <f t="shared" ref="BQ24:BQ87" si="25">1-AU24</f>
        <v>4.5252089999999967E-2</v>
      </c>
      <c r="BR24" s="1008">
        <f t="shared" si="6"/>
        <v>4525209</v>
      </c>
      <c r="BS24" s="1008">
        <f t="shared" si="7"/>
        <v>0</v>
      </c>
      <c r="BT24" s="1008">
        <f t="shared" si="23"/>
        <v>0</v>
      </c>
      <c r="BU24" s="1008"/>
      <c r="BV24" s="1008">
        <f t="shared" si="9"/>
        <v>0</v>
      </c>
      <c r="BW24" s="1008"/>
      <c r="BX24" s="1008">
        <f t="shared" si="10"/>
        <v>4525209</v>
      </c>
      <c r="BY24" s="1008">
        <f t="shared" si="10"/>
        <v>0</v>
      </c>
      <c r="BZ24" s="1008"/>
      <c r="CA24" s="1008">
        <f>+AH24-BE24</f>
        <v>0</v>
      </c>
      <c r="CB24" s="1008">
        <f>+AI24-BF24</f>
        <v>0</v>
      </c>
      <c r="CC24" s="1008">
        <f>+AJ24-BG24</f>
        <v>0</v>
      </c>
      <c r="CD24" s="1008">
        <f t="shared" si="24"/>
        <v>0</v>
      </c>
      <c r="CE24" s="1008">
        <f t="shared" si="24"/>
        <v>0</v>
      </c>
      <c r="CF24" s="1008">
        <f t="shared" si="24"/>
        <v>0</v>
      </c>
      <c r="CG24" s="1008">
        <f t="shared" si="24"/>
        <v>0</v>
      </c>
      <c r="CH24" s="1008">
        <f t="shared" si="24"/>
        <v>0</v>
      </c>
      <c r="CI24" s="1008">
        <f t="shared" si="24"/>
        <v>0</v>
      </c>
      <c r="CJ24" s="1008">
        <f>+AQ24-BN24</f>
        <v>0</v>
      </c>
      <c r="CK24" s="1008">
        <f>+AR24-BO24</f>
        <v>0</v>
      </c>
      <c r="CL24" s="1008">
        <f t="shared" si="12"/>
        <v>0</v>
      </c>
      <c r="CM24" s="1011">
        <f t="shared" si="13"/>
        <v>0.90400769999999997</v>
      </c>
      <c r="CN24" s="1008">
        <f t="shared" si="14"/>
        <v>90400770</v>
      </c>
      <c r="CO24" s="1008"/>
      <c r="CP24" s="1008"/>
      <c r="CQ24" s="1008"/>
      <c r="CR24" s="1008"/>
      <c r="CS24" s="1008"/>
      <c r="CT24" s="1008">
        <f>+'[18]OCTUBRE 2015'!$H$3036</f>
        <v>90400770</v>
      </c>
      <c r="CU24" s="1008"/>
      <c r="CV24" s="1008"/>
      <c r="CW24" s="1008"/>
      <c r="CX24" s="1008"/>
      <c r="CY24" s="1008"/>
      <c r="CZ24" s="1008"/>
      <c r="DA24" s="1008"/>
      <c r="DB24" s="1008"/>
      <c r="DC24" s="1008"/>
      <c r="DD24" s="1008"/>
      <c r="DE24" s="1008"/>
      <c r="DF24" s="1008"/>
      <c r="DG24" s="1008"/>
      <c r="DH24" s="1008"/>
      <c r="DI24" s="1011">
        <f t="shared" si="15"/>
        <v>9.599230000000003E-2</v>
      </c>
      <c r="DJ24" s="1008">
        <f t="shared" si="16"/>
        <v>9599230</v>
      </c>
      <c r="DK24" s="1008">
        <f t="shared" si="17"/>
        <v>0</v>
      </c>
      <c r="DL24" s="1008">
        <f t="shared" si="17"/>
        <v>0</v>
      </c>
      <c r="DM24" s="1008"/>
      <c r="DN24" s="1008">
        <f t="shared" si="18"/>
        <v>0</v>
      </c>
      <c r="DO24" s="1008">
        <f t="shared" si="18"/>
        <v>0</v>
      </c>
      <c r="DP24" s="1008">
        <f t="shared" si="18"/>
        <v>9599230</v>
      </c>
      <c r="DQ24" s="1008">
        <f t="shared" si="18"/>
        <v>0</v>
      </c>
      <c r="DR24" s="1008"/>
      <c r="DS24" s="1008">
        <f t="shared" si="19"/>
        <v>0</v>
      </c>
      <c r="DT24" s="1008">
        <f t="shared" si="19"/>
        <v>0</v>
      </c>
      <c r="DU24" s="1008"/>
      <c r="DV24" s="1008">
        <f t="shared" si="20"/>
        <v>0</v>
      </c>
      <c r="DW24" s="1008">
        <f t="shared" si="20"/>
        <v>0</v>
      </c>
      <c r="DX24" s="1008">
        <f t="shared" si="20"/>
        <v>0</v>
      </c>
      <c r="DY24" s="1008">
        <f t="shared" si="21"/>
        <v>0</v>
      </c>
      <c r="DZ24" s="1008">
        <f t="shared" si="21"/>
        <v>0</v>
      </c>
      <c r="EA24" s="1008">
        <f t="shared" si="21"/>
        <v>0</v>
      </c>
      <c r="EB24" s="1008">
        <f t="shared" si="21"/>
        <v>0</v>
      </c>
      <c r="EC24" s="1008"/>
      <c r="ED24" s="1008">
        <f t="shared" si="22"/>
        <v>0</v>
      </c>
    </row>
    <row r="25" spans="1:134" ht="51.75" customHeight="1" x14ac:dyDescent="0.25">
      <c r="A25" s="1562"/>
      <c r="B25" s="1024"/>
      <c r="C25" s="1094" t="s">
        <v>4575</v>
      </c>
      <c r="D25" s="1019" t="s">
        <v>4574</v>
      </c>
      <c r="E25" s="1020">
        <v>510</v>
      </c>
      <c r="F25" s="1097" t="s">
        <v>4660</v>
      </c>
      <c r="G25" s="1400"/>
      <c r="H25" s="1061">
        <f t="shared" si="0"/>
        <v>11870754</v>
      </c>
      <c r="I25" s="1061">
        <f t="shared" si="1"/>
        <v>18129246</v>
      </c>
      <c r="J25" s="1400"/>
      <c r="K25" s="1591"/>
      <c r="L25" s="1573"/>
      <c r="M25" s="1093">
        <v>0</v>
      </c>
      <c r="N25" s="1093">
        <v>4</v>
      </c>
      <c r="O25" s="1093">
        <v>0</v>
      </c>
      <c r="P25" s="1093">
        <v>22</v>
      </c>
      <c r="Q25" s="1093">
        <v>26</v>
      </c>
      <c r="R25" s="1093">
        <v>6</v>
      </c>
      <c r="S25" s="1102"/>
      <c r="T25" s="1102"/>
      <c r="U25" s="1102"/>
      <c r="V25" s="1102"/>
      <c r="W25" s="1102"/>
      <c r="X25" s="1102"/>
      <c r="Y25" s="1008">
        <f t="shared" si="2"/>
        <v>30000000</v>
      </c>
      <c r="Z25" s="1008"/>
      <c r="AA25" s="1008"/>
      <c r="AB25" s="1008"/>
      <c r="AC25" s="1008"/>
      <c r="AD25" s="1008"/>
      <c r="AE25" s="1008">
        <v>20000000</v>
      </c>
      <c r="AF25" s="1008"/>
      <c r="AG25" s="1008"/>
      <c r="AH25" s="1008"/>
      <c r="AI25" s="1008"/>
      <c r="AJ25" s="1008"/>
      <c r="AK25" s="1008"/>
      <c r="AL25" s="1008"/>
      <c r="AM25" s="1008"/>
      <c r="AN25" s="1008">
        <v>10000000</v>
      </c>
      <c r="AO25" s="1008"/>
      <c r="AP25" s="1008"/>
      <c r="AQ25" s="1008"/>
      <c r="AR25" s="1008"/>
      <c r="AS25" s="1008"/>
      <c r="AU25" s="1011">
        <f t="shared" si="3"/>
        <v>0.39569179999999998</v>
      </c>
      <c r="AV25" s="1008">
        <f t="shared" si="4"/>
        <v>11870754</v>
      </c>
      <c r="AW25" s="1008"/>
      <c r="AX25" s="1008"/>
      <c r="AY25" s="1008"/>
      <c r="AZ25" s="1008"/>
      <c r="BA25" s="1008"/>
      <c r="BB25" s="1008">
        <f>+'[17]SEPTIEMBRE 2015'!$O$2626</f>
        <v>9801842</v>
      </c>
      <c r="BC25" s="1008"/>
      <c r="BD25" s="1008"/>
      <c r="BE25" s="1008"/>
      <c r="BF25" s="1008"/>
      <c r="BG25" s="1008"/>
      <c r="BH25" s="1008"/>
      <c r="BI25" s="1008"/>
      <c r="BJ25" s="1008"/>
      <c r="BK25" s="1008">
        <f>+'[14]JUNIO 2015'!$X$1613</f>
        <v>2068912</v>
      </c>
      <c r="BL25" s="1008"/>
      <c r="BM25" s="1008"/>
      <c r="BN25" s="1008"/>
      <c r="BO25" s="1008"/>
      <c r="BP25" s="1008"/>
      <c r="BQ25" s="1011">
        <f t="shared" si="25"/>
        <v>0.60430819999999996</v>
      </c>
      <c r="BR25" s="1008">
        <f t="shared" si="6"/>
        <v>18129246</v>
      </c>
      <c r="BS25" s="1008">
        <f t="shared" si="7"/>
        <v>0</v>
      </c>
      <c r="BT25" s="1008">
        <f t="shared" si="23"/>
        <v>0</v>
      </c>
      <c r="BU25" s="1008"/>
      <c r="BV25" s="1008">
        <f t="shared" si="9"/>
        <v>0</v>
      </c>
      <c r="BW25" s="1008"/>
      <c r="BX25" s="1008">
        <f t="shared" si="10"/>
        <v>10198158</v>
      </c>
      <c r="BY25" s="1008">
        <f t="shared" si="10"/>
        <v>0</v>
      </c>
      <c r="BZ25" s="1008"/>
      <c r="CA25" s="1008"/>
      <c r="CB25" s="1008"/>
      <c r="CC25" s="1008"/>
      <c r="CD25" s="1008">
        <f t="shared" si="24"/>
        <v>0</v>
      </c>
      <c r="CE25" s="1008">
        <f t="shared" si="24"/>
        <v>0</v>
      </c>
      <c r="CF25" s="1008">
        <f t="shared" si="24"/>
        <v>0</v>
      </c>
      <c r="CG25" s="1008">
        <f t="shared" si="24"/>
        <v>7931088</v>
      </c>
      <c r="CH25" s="1008">
        <f t="shared" si="24"/>
        <v>0</v>
      </c>
      <c r="CI25" s="1008">
        <f t="shared" si="24"/>
        <v>0</v>
      </c>
      <c r="CJ25" s="1008"/>
      <c r="CK25" s="1008"/>
      <c r="CL25" s="1008">
        <f t="shared" si="12"/>
        <v>0</v>
      </c>
      <c r="CM25" s="1011">
        <f t="shared" si="13"/>
        <v>0.39569179999999998</v>
      </c>
      <c r="CN25" s="1008">
        <f t="shared" si="14"/>
        <v>11870754</v>
      </c>
      <c r="CO25" s="1008"/>
      <c r="CP25" s="1008"/>
      <c r="CQ25" s="1008"/>
      <c r="CR25" s="1008"/>
      <c r="CS25" s="1008"/>
      <c r="CT25" s="1008">
        <f>+'[17]SEPTIEMBRE 2015'!$H$2624-DC25</f>
        <v>9801842</v>
      </c>
      <c r="CU25" s="1008"/>
      <c r="CV25" s="1008"/>
      <c r="CW25" s="1008"/>
      <c r="CX25" s="1008"/>
      <c r="CY25" s="1008"/>
      <c r="CZ25" s="1008"/>
      <c r="DA25" s="1008"/>
      <c r="DB25" s="1008"/>
      <c r="DC25" s="1008">
        <f>+'[17]SEPTIEMBRE 2015'!$H$2627+'[17]SEPTIEMBRE 2015'!$H$2628+'[17]SEPTIEMBRE 2015'!$H$2629</f>
        <v>2068912</v>
      </c>
      <c r="DD25" s="1008"/>
      <c r="DE25" s="1008"/>
      <c r="DF25" s="1008"/>
      <c r="DG25" s="1008"/>
      <c r="DH25" s="1008"/>
      <c r="DI25" s="1011">
        <f t="shared" si="15"/>
        <v>0.60430819999999996</v>
      </c>
      <c r="DJ25" s="1008">
        <f t="shared" si="16"/>
        <v>18129246</v>
      </c>
      <c r="DK25" s="1008">
        <f t="shared" si="17"/>
        <v>0</v>
      </c>
      <c r="DL25" s="1008">
        <f t="shared" si="17"/>
        <v>0</v>
      </c>
      <c r="DM25" s="1008"/>
      <c r="DN25" s="1008">
        <f t="shared" si="18"/>
        <v>0</v>
      </c>
      <c r="DO25" s="1008">
        <f t="shared" si="18"/>
        <v>0</v>
      </c>
      <c r="DP25" s="1008">
        <f t="shared" si="18"/>
        <v>10198158</v>
      </c>
      <c r="DQ25" s="1008">
        <f t="shared" si="18"/>
        <v>0</v>
      </c>
      <c r="DR25" s="1008"/>
      <c r="DS25" s="1008">
        <f t="shared" si="19"/>
        <v>0</v>
      </c>
      <c r="DT25" s="1008">
        <f t="shared" si="19"/>
        <v>0</v>
      </c>
      <c r="DU25" s="1008"/>
      <c r="DV25" s="1008">
        <f t="shared" si="20"/>
        <v>0</v>
      </c>
      <c r="DW25" s="1008">
        <f t="shared" si="20"/>
        <v>0</v>
      </c>
      <c r="DX25" s="1008">
        <f t="shared" si="20"/>
        <v>0</v>
      </c>
      <c r="DY25" s="1008">
        <f t="shared" si="21"/>
        <v>7931088</v>
      </c>
      <c r="DZ25" s="1008">
        <f t="shared" si="21"/>
        <v>0</v>
      </c>
      <c r="EA25" s="1008">
        <f t="shared" si="21"/>
        <v>0</v>
      </c>
      <c r="EB25" s="1008">
        <f t="shared" si="21"/>
        <v>0</v>
      </c>
      <c r="EC25" s="1008"/>
      <c r="ED25" s="1008">
        <f t="shared" si="22"/>
        <v>0</v>
      </c>
    </row>
    <row r="26" spans="1:134" ht="60" customHeight="1" x14ac:dyDescent="0.25">
      <c r="A26" s="1562"/>
      <c r="B26" s="1025"/>
      <c r="C26" s="1094" t="s">
        <v>4576</v>
      </c>
      <c r="D26" s="1019" t="s">
        <v>4703</v>
      </c>
      <c r="E26" s="1020">
        <v>510</v>
      </c>
      <c r="F26" s="1097" t="s">
        <v>4660</v>
      </c>
      <c r="G26" s="1401"/>
      <c r="H26" s="1061">
        <f t="shared" si="0"/>
        <v>0</v>
      </c>
      <c r="I26" s="1061">
        <f t="shared" si="1"/>
        <v>60000000</v>
      </c>
      <c r="J26" s="1401"/>
      <c r="K26" s="1592"/>
      <c r="L26" s="1284"/>
      <c r="M26" s="1093">
        <v>0</v>
      </c>
      <c r="N26" s="1093">
        <v>0</v>
      </c>
      <c r="O26" s="1093">
        <v>0</v>
      </c>
      <c r="P26" s="1093">
        <v>0</v>
      </c>
      <c r="Q26" s="1093">
        <v>0</v>
      </c>
      <c r="R26" s="1093">
        <v>0</v>
      </c>
      <c r="S26" s="1103"/>
      <c r="T26" s="1103"/>
      <c r="U26" s="1103"/>
      <c r="V26" s="1103"/>
      <c r="W26" s="1103"/>
      <c r="X26" s="1103"/>
      <c r="Y26" s="1008">
        <f t="shared" si="2"/>
        <v>60000000</v>
      </c>
      <c r="Z26" s="1008"/>
      <c r="AA26" s="1008"/>
      <c r="AB26" s="1008"/>
      <c r="AC26" s="1008"/>
      <c r="AD26" s="1008"/>
      <c r="AE26" s="1008">
        <v>60000000</v>
      </c>
      <c r="AF26" s="1008"/>
      <c r="AG26" s="1008"/>
      <c r="AH26" s="1008"/>
      <c r="AI26" s="1008"/>
      <c r="AJ26" s="1008"/>
      <c r="AK26" s="1008"/>
      <c r="AL26" s="1008"/>
      <c r="AM26" s="1008"/>
      <c r="AN26" s="1008"/>
      <c r="AO26" s="1008"/>
      <c r="AP26" s="1008"/>
      <c r="AQ26" s="1008"/>
      <c r="AR26" s="1008"/>
      <c r="AS26" s="1008"/>
      <c r="AU26" s="1011">
        <f t="shared" si="3"/>
        <v>0</v>
      </c>
      <c r="AV26" s="1008">
        <f t="shared" si="4"/>
        <v>0</v>
      </c>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11">
        <f t="shared" si="25"/>
        <v>1</v>
      </c>
      <c r="BR26" s="1008">
        <f t="shared" si="6"/>
        <v>60000000</v>
      </c>
      <c r="BS26" s="1008">
        <f t="shared" si="7"/>
        <v>0</v>
      </c>
      <c r="BT26" s="1008">
        <f t="shared" si="23"/>
        <v>0</v>
      </c>
      <c r="BU26" s="1008"/>
      <c r="BV26" s="1008">
        <f t="shared" si="9"/>
        <v>0</v>
      </c>
      <c r="BW26" s="1008"/>
      <c r="BX26" s="1008">
        <f t="shared" si="10"/>
        <v>60000000</v>
      </c>
      <c r="BY26" s="1008">
        <f t="shared" si="10"/>
        <v>0</v>
      </c>
      <c r="BZ26" s="1008"/>
      <c r="CA26" s="1008"/>
      <c r="CB26" s="1008"/>
      <c r="CC26" s="1008"/>
      <c r="CD26" s="1008">
        <f t="shared" si="24"/>
        <v>0</v>
      </c>
      <c r="CE26" s="1008">
        <f t="shared" si="24"/>
        <v>0</v>
      </c>
      <c r="CF26" s="1008">
        <f t="shared" si="24"/>
        <v>0</v>
      </c>
      <c r="CG26" s="1008">
        <f t="shared" si="24"/>
        <v>0</v>
      </c>
      <c r="CH26" s="1008">
        <f t="shared" si="24"/>
        <v>0</v>
      </c>
      <c r="CI26" s="1008">
        <f t="shared" si="24"/>
        <v>0</v>
      </c>
      <c r="CJ26" s="1008"/>
      <c r="CK26" s="1008"/>
      <c r="CL26" s="1008">
        <f t="shared" si="12"/>
        <v>0</v>
      </c>
      <c r="CM26" s="1011">
        <f t="shared" si="13"/>
        <v>0</v>
      </c>
      <c r="CN26" s="1008">
        <f t="shared" si="14"/>
        <v>0</v>
      </c>
      <c r="CO26" s="1008"/>
      <c r="CP26" s="1008"/>
      <c r="CQ26" s="1008"/>
      <c r="CR26" s="1008"/>
      <c r="CS26" s="1008"/>
      <c r="CT26" s="1008"/>
      <c r="CU26" s="1008"/>
      <c r="CV26" s="1008"/>
      <c r="CW26" s="1008"/>
      <c r="CX26" s="1008"/>
      <c r="CY26" s="1008"/>
      <c r="CZ26" s="1008"/>
      <c r="DA26" s="1008"/>
      <c r="DB26" s="1008"/>
      <c r="DC26" s="1008"/>
      <c r="DD26" s="1008"/>
      <c r="DE26" s="1008"/>
      <c r="DF26" s="1008"/>
      <c r="DG26" s="1008"/>
      <c r="DH26" s="1008"/>
      <c r="DI26" s="1011">
        <f t="shared" si="15"/>
        <v>1</v>
      </c>
      <c r="DJ26" s="1008">
        <f t="shared" si="16"/>
        <v>60000000</v>
      </c>
      <c r="DK26" s="1008">
        <f t="shared" si="17"/>
        <v>0</v>
      </c>
      <c r="DL26" s="1008">
        <f t="shared" si="17"/>
        <v>0</v>
      </c>
      <c r="DM26" s="1008"/>
      <c r="DN26" s="1008">
        <f t="shared" si="18"/>
        <v>0</v>
      </c>
      <c r="DO26" s="1008">
        <f t="shared" si="18"/>
        <v>0</v>
      </c>
      <c r="DP26" s="1008">
        <f t="shared" si="18"/>
        <v>60000000</v>
      </c>
      <c r="DQ26" s="1008">
        <f t="shared" si="18"/>
        <v>0</v>
      </c>
      <c r="DR26" s="1008"/>
      <c r="DS26" s="1008">
        <f t="shared" si="19"/>
        <v>0</v>
      </c>
      <c r="DT26" s="1008">
        <f t="shared" si="19"/>
        <v>0</v>
      </c>
      <c r="DU26" s="1008"/>
      <c r="DV26" s="1008">
        <f t="shared" si="20"/>
        <v>0</v>
      </c>
      <c r="DW26" s="1008">
        <f t="shared" si="20"/>
        <v>0</v>
      </c>
      <c r="DX26" s="1008">
        <f t="shared" si="20"/>
        <v>0</v>
      </c>
      <c r="DY26" s="1008">
        <f t="shared" si="21"/>
        <v>0</v>
      </c>
      <c r="DZ26" s="1008">
        <f t="shared" si="21"/>
        <v>0</v>
      </c>
      <c r="EA26" s="1008">
        <f t="shared" si="21"/>
        <v>0</v>
      </c>
      <c r="EB26" s="1008">
        <f t="shared" si="21"/>
        <v>0</v>
      </c>
      <c r="EC26" s="1008"/>
      <c r="ED26" s="1008">
        <f t="shared" si="22"/>
        <v>0</v>
      </c>
    </row>
    <row r="27" spans="1:134" ht="31.5" customHeight="1" x14ac:dyDescent="0.25">
      <c r="A27" s="1562"/>
      <c r="B27" s="1021" t="s">
        <v>4304</v>
      </c>
      <c r="C27" s="1094" t="s">
        <v>4403</v>
      </c>
      <c r="D27" s="1019" t="s">
        <v>4577</v>
      </c>
      <c r="E27" s="1020">
        <v>510</v>
      </c>
      <c r="F27" s="1097" t="s">
        <v>4660</v>
      </c>
      <c r="G27" s="1399">
        <v>80000000</v>
      </c>
      <c r="H27" s="1061">
        <f t="shared" si="0"/>
        <v>0</v>
      </c>
      <c r="I27" s="1061">
        <f t="shared" si="1"/>
        <v>0</v>
      </c>
      <c r="J27" s="1399" t="s">
        <v>4773</v>
      </c>
      <c r="K27" s="1283" t="s">
        <v>4774</v>
      </c>
      <c r="L27" s="1283" t="s">
        <v>4775</v>
      </c>
      <c r="M27" s="1093">
        <v>0</v>
      </c>
      <c r="N27" s="1093">
        <v>0</v>
      </c>
      <c r="O27" s="1093">
        <v>0</v>
      </c>
      <c r="P27" s="1093">
        <v>0</v>
      </c>
      <c r="Q27" s="1093">
        <v>20</v>
      </c>
      <c r="R27" s="1093">
        <v>0</v>
      </c>
      <c r="S27" s="1101"/>
      <c r="T27" s="1101"/>
      <c r="U27" s="1101"/>
      <c r="V27" s="1101"/>
      <c r="W27" s="1101"/>
      <c r="X27" s="1101"/>
      <c r="Y27" s="1008">
        <f t="shared" si="2"/>
        <v>0</v>
      </c>
      <c r="Z27" s="1008"/>
      <c r="AA27" s="1008"/>
      <c r="AB27" s="1008"/>
      <c r="AC27" s="1008"/>
      <c r="AD27" s="1008"/>
      <c r="AE27" s="1008"/>
      <c r="AF27" s="1008"/>
      <c r="AG27" s="1008"/>
      <c r="AH27" s="1008"/>
      <c r="AI27" s="1008"/>
      <c r="AJ27" s="1008"/>
      <c r="AK27" s="1008"/>
      <c r="AL27" s="1008"/>
      <c r="AM27" s="1008">
        <f>40000000-40000000</f>
        <v>0</v>
      </c>
      <c r="AN27" s="1008"/>
      <c r="AO27" s="1008"/>
      <c r="AP27" s="1008"/>
      <c r="AQ27" s="1008"/>
      <c r="AR27" s="1008"/>
      <c r="AS27" s="1008"/>
      <c r="AU27" s="1011" t="e">
        <f t="shared" si="3"/>
        <v>#DIV/0!</v>
      </c>
      <c r="AV27" s="1008">
        <f t="shared" si="4"/>
        <v>0</v>
      </c>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11" t="e">
        <f t="shared" si="25"/>
        <v>#DIV/0!</v>
      </c>
      <c r="BR27" s="1008">
        <f t="shared" si="6"/>
        <v>0</v>
      </c>
      <c r="BS27" s="1008">
        <f t="shared" si="7"/>
        <v>0</v>
      </c>
      <c r="BT27" s="1008">
        <f t="shared" si="23"/>
        <v>0</v>
      </c>
      <c r="BU27" s="1008"/>
      <c r="BV27" s="1008">
        <f t="shared" si="9"/>
        <v>0</v>
      </c>
      <c r="BW27" s="1008"/>
      <c r="BX27" s="1008">
        <f t="shared" si="10"/>
        <v>0</v>
      </c>
      <c r="BY27" s="1008">
        <f t="shared" si="10"/>
        <v>0</v>
      </c>
      <c r="BZ27" s="1008"/>
      <c r="CA27" s="1008"/>
      <c r="CB27" s="1008"/>
      <c r="CC27" s="1008"/>
      <c r="CD27" s="1008">
        <f t="shared" si="24"/>
        <v>0</v>
      </c>
      <c r="CE27" s="1008">
        <f t="shared" si="24"/>
        <v>0</v>
      </c>
      <c r="CF27" s="1008">
        <f t="shared" si="24"/>
        <v>0</v>
      </c>
      <c r="CG27" s="1008">
        <f t="shared" si="24"/>
        <v>0</v>
      </c>
      <c r="CH27" s="1008">
        <f t="shared" si="24"/>
        <v>0</v>
      </c>
      <c r="CI27" s="1008">
        <f t="shared" si="24"/>
        <v>0</v>
      </c>
      <c r="CJ27" s="1008"/>
      <c r="CK27" s="1008"/>
      <c r="CL27" s="1008">
        <f t="shared" si="12"/>
        <v>0</v>
      </c>
      <c r="CM27" s="1011" t="e">
        <f t="shared" si="13"/>
        <v>#DIV/0!</v>
      </c>
      <c r="CN27" s="1008">
        <f t="shared" si="14"/>
        <v>0</v>
      </c>
      <c r="CO27" s="1008"/>
      <c r="CP27" s="1008"/>
      <c r="CQ27" s="1008"/>
      <c r="CR27" s="1008"/>
      <c r="CS27" s="1008"/>
      <c r="CT27" s="1008"/>
      <c r="CU27" s="1008"/>
      <c r="CV27" s="1008"/>
      <c r="CW27" s="1008"/>
      <c r="CX27" s="1008"/>
      <c r="CY27" s="1008"/>
      <c r="CZ27" s="1008"/>
      <c r="DA27" s="1008"/>
      <c r="DB27" s="1008"/>
      <c r="DC27" s="1008"/>
      <c r="DD27" s="1008"/>
      <c r="DE27" s="1008"/>
      <c r="DF27" s="1008"/>
      <c r="DG27" s="1008"/>
      <c r="DH27" s="1008"/>
      <c r="DI27" s="1011" t="e">
        <f t="shared" si="15"/>
        <v>#DIV/0!</v>
      </c>
      <c r="DJ27" s="1008">
        <f t="shared" si="16"/>
        <v>0</v>
      </c>
      <c r="DK27" s="1008">
        <f t="shared" si="17"/>
        <v>0</v>
      </c>
      <c r="DL27" s="1008">
        <f t="shared" si="17"/>
        <v>0</v>
      </c>
      <c r="DM27" s="1008"/>
      <c r="DN27" s="1008">
        <f t="shared" si="18"/>
        <v>0</v>
      </c>
      <c r="DO27" s="1008">
        <f t="shared" si="18"/>
        <v>0</v>
      </c>
      <c r="DP27" s="1008">
        <f t="shared" si="18"/>
        <v>0</v>
      </c>
      <c r="DQ27" s="1008">
        <f t="shared" si="18"/>
        <v>0</v>
      </c>
      <c r="DR27" s="1008"/>
      <c r="DS27" s="1008">
        <f t="shared" si="19"/>
        <v>0</v>
      </c>
      <c r="DT27" s="1008">
        <f t="shared" si="19"/>
        <v>0</v>
      </c>
      <c r="DU27" s="1008"/>
      <c r="DV27" s="1008">
        <f t="shared" si="20"/>
        <v>0</v>
      </c>
      <c r="DW27" s="1008">
        <f t="shared" si="20"/>
        <v>0</v>
      </c>
      <c r="DX27" s="1008">
        <f t="shared" si="20"/>
        <v>0</v>
      </c>
      <c r="DY27" s="1008">
        <f t="shared" si="21"/>
        <v>0</v>
      </c>
      <c r="DZ27" s="1008">
        <f t="shared" si="21"/>
        <v>0</v>
      </c>
      <c r="EA27" s="1008">
        <f t="shared" si="21"/>
        <v>0</v>
      </c>
      <c r="EB27" s="1008">
        <f t="shared" si="21"/>
        <v>0</v>
      </c>
      <c r="EC27" s="1008"/>
      <c r="ED27" s="1008">
        <f t="shared" si="22"/>
        <v>0</v>
      </c>
    </row>
    <row r="28" spans="1:134" ht="39.75" customHeight="1" x14ac:dyDescent="0.25">
      <c r="A28" s="1562"/>
      <c r="B28" s="1021"/>
      <c r="C28" s="1094" t="s">
        <v>4598</v>
      </c>
      <c r="D28" s="1019" t="s">
        <v>4578</v>
      </c>
      <c r="E28" s="1020">
        <v>510</v>
      </c>
      <c r="F28" s="1097" t="s">
        <v>4660</v>
      </c>
      <c r="G28" s="1400"/>
      <c r="H28" s="1061">
        <f t="shared" si="0"/>
        <v>0</v>
      </c>
      <c r="I28" s="1061">
        <f t="shared" si="1"/>
        <v>45000000</v>
      </c>
      <c r="J28" s="1400"/>
      <c r="K28" s="1573"/>
      <c r="L28" s="1573"/>
      <c r="M28" s="1093">
        <v>0</v>
      </c>
      <c r="N28" s="1093">
        <v>0</v>
      </c>
      <c r="O28" s="1093">
        <v>0</v>
      </c>
      <c r="P28" s="1093">
        <v>0</v>
      </c>
      <c r="Q28" s="1093">
        <v>0</v>
      </c>
      <c r="R28" s="1093">
        <v>0</v>
      </c>
      <c r="S28" s="1102"/>
      <c r="T28" s="1102"/>
      <c r="U28" s="1102"/>
      <c r="V28" s="1102"/>
      <c r="W28" s="1102"/>
      <c r="X28" s="1102"/>
      <c r="Y28" s="1008">
        <f t="shared" si="2"/>
        <v>45000000</v>
      </c>
      <c r="Z28" s="1008"/>
      <c r="AA28" s="1008"/>
      <c r="AB28" s="1008"/>
      <c r="AC28" s="1008"/>
      <c r="AD28" s="1008"/>
      <c r="AE28" s="1008"/>
      <c r="AF28" s="1008"/>
      <c r="AG28" s="1008"/>
      <c r="AH28" s="1008"/>
      <c r="AI28" s="1008"/>
      <c r="AJ28" s="1008"/>
      <c r="AK28" s="1008"/>
      <c r="AL28" s="1008"/>
      <c r="AM28" s="1008">
        <f>5000000+40000000</f>
        <v>45000000</v>
      </c>
      <c r="AN28" s="1008"/>
      <c r="AO28" s="1008"/>
      <c r="AP28" s="1008"/>
      <c r="AQ28" s="1008"/>
      <c r="AR28" s="1008"/>
      <c r="AS28" s="1008"/>
      <c r="AU28" s="1011">
        <f t="shared" si="3"/>
        <v>0</v>
      </c>
      <c r="AV28" s="1008">
        <f t="shared" si="4"/>
        <v>0</v>
      </c>
      <c r="AW28" s="1008"/>
      <c r="AX28" s="1008"/>
      <c r="AY28" s="1008"/>
      <c r="AZ28" s="1008"/>
      <c r="BA28" s="1008"/>
      <c r="BB28" s="1008"/>
      <c r="BC28" s="1008"/>
      <c r="BD28" s="1008"/>
      <c r="BE28" s="1008"/>
      <c r="BF28" s="1008"/>
      <c r="BG28" s="1008"/>
      <c r="BH28" s="1008"/>
      <c r="BI28" s="1008"/>
      <c r="BJ28" s="1008"/>
      <c r="BK28" s="1008"/>
      <c r="BL28" s="1008"/>
      <c r="BM28" s="1008"/>
      <c r="BN28" s="1008"/>
      <c r="BO28" s="1008"/>
      <c r="BP28" s="1008"/>
      <c r="BQ28" s="1011">
        <f t="shared" si="25"/>
        <v>1</v>
      </c>
      <c r="BR28" s="1008">
        <f t="shared" si="6"/>
        <v>45000000</v>
      </c>
      <c r="BS28" s="1008">
        <f t="shared" si="7"/>
        <v>0</v>
      </c>
      <c r="BT28" s="1008">
        <f t="shared" si="23"/>
        <v>0</v>
      </c>
      <c r="BU28" s="1008"/>
      <c r="BV28" s="1008">
        <f t="shared" si="9"/>
        <v>0</v>
      </c>
      <c r="BW28" s="1008"/>
      <c r="BX28" s="1008">
        <f t="shared" si="10"/>
        <v>0</v>
      </c>
      <c r="BY28" s="1008">
        <f t="shared" si="10"/>
        <v>0</v>
      </c>
      <c r="BZ28" s="1008"/>
      <c r="CA28" s="1008"/>
      <c r="CB28" s="1008"/>
      <c r="CC28" s="1008"/>
      <c r="CD28" s="1008">
        <f t="shared" si="24"/>
        <v>0</v>
      </c>
      <c r="CE28" s="1008">
        <f t="shared" si="24"/>
        <v>0</v>
      </c>
      <c r="CF28" s="1008">
        <f t="shared" si="24"/>
        <v>45000000</v>
      </c>
      <c r="CG28" s="1008">
        <f t="shared" si="24"/>
        <v>0</v>
      </c>
      <c r="CH28" s="1008">
        <f t="shared" si="24"/>
        <v>0</v>
      </c>
      <c r="CI28" s="1008">
        <f t="shared" si="24"/>
        <v>0</v>
      </c>
      <c r="CJ28" s="1008"/>
      <c r="CK28" s="1008"/>
      <c r="CL28" s="1008">
        <f t="shared" si="12"/>
        <v>0</v>
      </c>
      <c r="CM28" s="1011">
        <f t="shared" si="13"/>
        <v>0</v>
      </c>
      <c r="CN28" s="1008">
        <f t="shared" si="14"/>
        <v>0</v>
      </c>
      <c r="CO28" s="1008"/>
      <c r="CP28" s="1008"/>
      <c r="CQ28" s="1008"/>
      <c r="CR28" s="1008"/>
      <c r="CS28" s="1008"/>
      <c r="CT28" s="1008"/>
      <c r="CU28" s="1008"/>
      <c r="CV28" s="1008"/>
      <c r="CW28" s="1008"/>
      <c r="CX28" s="1008"/>
      <c r="CY28" s="1008"/>
      <c r="CZ28" s="1008"/>
      <c r="DA28" s="1008"/>
      <c r="DB28" s="1008"/>
      <c r="DC28" s="1008"/>
      <c r="DD28" s="1008"/>
      <c r="DE28" s="1008"/>
      <c r="DF28" s="1008"/>
      <c r="DG28" s="1008"/>
      <c r="DH28" s="1008"/>
      <c r="DI28" s="1011">
        <f t="shared" si="15"/>
        <v>1</v>
      </c>
      <c r="DJ28" s="1008">
        <f t="shared" si="16"/>
        <v>45000000</v>
      </c>
      <c r="DK28" s="1008">
        <f t="shared" si="17"/>
        <v>0</v>
      </c>
      <c r="DL28" s="1008">
        <f t="shared" si="17"/>
        <v>0</v>
      </c>
      <c r="DM28" s="1008"/>
      <c r="DN28" s="1008">
        <f t="shared" si="18"/>
        <v>0</v>
      </c>
      <c r="DO28" s="1008">
        <f t="shared" si="18"/>
        <v>0</v>
      </c>
      <c r="DP28" s="1008">
        <f t="shared" si="18"/>
        <v>0</v>
      </c>
      <c r="DQ28" s="1008">
        <f t="shared" si="18"/>
        <v>0</v>
      </c>
      <c r="DR28" s="1008"/>
      <c r="DS28" s="1008">
        <f t="shared" si="19"/>
        <v>0</v>
      </c>
      <c r="DT28" s="1008">
        <f t="shared" si="19"/>
        <v>0</v>
      </c>
      <c r="DU28" s="1008"/>
      <c r="DV28" s="1008">
        <f t="shared" si="20"/>
        <v>0</v>
      </c>
      <c r="DW28" s="1008">
        <f t="shared" si="20"/>
        <v>0</v>
      </c>
      <c r="DX28" s="1008">
        <f t="shared" si="20"/>
        <v>45000000</v>
      </c>
      <c r="DY28" s="1008">
        <f t="shared" si="21"/>
        <v>0</v>
      </c>
      <c r="DZ28" s="1008">
        <f t="shared" si="21"/>
        <v>0</v>
      </c>
      <c r="EA28" s="1008">
        <f t="shared" si="21"/>
        <v>0</v>
      </c>
      <c r="EB28" s="1008">
        <f t="shared" si="21"/>
        <v>0</v>
      </c>
      <c r="EC28" s="1008"/>
      <c r="ED28" s="1008">
        <f t="shared" si="22"/>
        <v>0</v>
      </c>
    </row>
    <row r="29" spans="1:134" ht="48.75" customHeight="1" x14ac:dyDescent="0.25">
      <c r="A29" s="1562"/>
      <c r="B29" s="1021"/>
      <c r="C29" s="1094" t="s">
        <v>4599</v>
      </c>
      <c r="D29" s="1019" t="s">
        <v>4686</v>
      </c>
      <c r="E29" s="1020">
        <v>510</v>
      </c>
      <c r="F29" s="1097" t="s">
        <v>4660</v>
      </c>
      <c r="G29" s="1401"/>
      <c r="H29" s="1061">
        <f t="shared" si="0"/>
        <v>0</v>
      </c>
      <c r="I29" s="1061">
        <f t="shared" si="1"/>
        <v>65000000</v>
      </c>
      <c r="J29" s="1401"/>
      <c r="K29" s="1284"/>
      <c r="L29" s="1284"/>
      <c r="M29" s="1093">
        <v>0</v>
      </c>
      <c r="N29" s="1093">
        <v>0</v>
      </c>
      <c r="O29" s="1093">
        <v>0</v>
      </c>
      <c r="P29" s="1093">
        <v>0</v>
      </c>
      <c r="Q29" s="1093">
        <v>20</v>
      </c>
      <c r="R29" s="1093">
        <v>0</v>
      </c>
      <c r="S29" s="1103"/>
      <c r="T29" s="1103"/>
      <c r="U29" s="1103"/>
      <c r="V29" s="1103"/>
      <c r="W29" s="1103"/>
      <c r="X29" s="1103"/>
      <c r="Y29" s="1008">
        <f t="shared" si="2"/>
        <v>65000000</v>
      </c>
      <c r="Z29" s="1008"/>
      <c r="AA29" s="1008"/>
      <c r="AB29" s="1008"/>
      <c r="AC29" s="1008"/>
      <c r="AD29" s="1008"/>
      <c r="AE29" s="1008"/>
      <c r="AF29" s="1008"/>
      <c r="AG29" s="1008"/>
      <c r="AH29" s="1008"/>
      <c r="AI29" s="1008"/>
      <c r="AJ29" s="1008"/>
      <c r="AK29" s="1008"/>
      <c r="AL29" s="1008"/>
      <c r="AM29" s="1008">
        <v>35000000</v>
      </c>
      <c r="AN29" s="1008">
        <v>30000000</v>
      </c>
      <c r="AO29" s="1008"/>
      <c r="AP29" s="1008"/>
      <c r="AQ29" s="1008"/>
      <c r="AR29" s="1008"/>
      <c r="AS29" s="1008"/>
      <c r="AU29" s="1011">
        <f t="shared" si="3"/>
        <v>0</v>
      </c>
      <c r="AV29" s="1008">
        <f t="shared" si="4"/>
        <v>0</v>
      </c>
      <c r="AW29" s="1008"/>
      <c r="AX29" s="1008"/>
      <c r="AY29" s="1008"/>
      <c r="AZ29" s="1008"/>
      <c r="BA29" s="1008"/>
      <c r="BB29" s="1008"/>
      <c r="BC29" s="1008"/>
      <c r="BD29" s="1008"/>
      <c r="BE29" s="1008"/>
      <c r="BF29" s="1008"/>
      <c r="BG29" s="1008"/>
      <c r="BH29" s="1008"/>
      <c r="BI29" s="1008"/>
      <c r="BJ29" s="1008"/>
      <c r="BK29" s="1008"/>
      <c r="BL29" s="1008"/>
      <c r="BM29" s="1008"/>
      <c r="BN29" s="1008"/>
      <c r="BO29" s="1008"/>
      <c r="BP29" s="1008"/>
      <c r="BQ29" s="1011">
        <f t="shared" si="25"/>
        <v>1</v>
      </c>
      <c r="BR29" s="1008">
        <f t="shared" si="6"/>
        <v>65000000</v>
      </c>
      <c r="BS29" s="1008">
        <f t="shared" si="7"/>
        <v>0</v>
      </c>
      <c r="BT29" s="1008">
        <f t="shared" si="23"/>
        <v>0</v>
      </c>
      <c r="BU29" s="1008"/>
      <c r="BV29" s="1008">
        <f t="shared" si="9"/>
        <v>0</v>
      </c>
      <c r="BW29" s="1008"/>
      <c r="BX29" s="1008">
        <f t="shared" si="10"/>
        <v>0</v>
      </c>
      <c r="BY29" s="1008">
        <f t="shared" si="10"/>
        <v>0</v>
      </c>
      <c r="BZ29" s="1008"/>
      <c r="CA29" s="1008"/>
      <c r="CB29" s="1008"/>
      <c r="CC29" s="1008"/>
      <c r="CD29" s="1008">
        <f t="shared" si="24"/>
        <v>0</v>
      </c>
      <c r="CE29" s="1008">
        <f t="shared" si="24"/>
        <v>0</v>
      </c>
      <c r="CF29" s="1008">
        <f t="shared" si="24"/>
        <v>35000000</v>
      </c>
      <c r="CG29" s="1008">
        <f t="shared" si="24"/>
        <v>30000000</v>
      </c>
      <c r="CH29" s="1008">
        <f t="shared" si="24"/>
        <v>0</v>
      </c>
      <c r="CI29" s="1008">
        <f t="shared" si="24"/>
        <v>0</v>
      </c>
      <c r="CJ29" s="1008"/>
      <c r="CK29" s="1008"/>
      <c r="CL29" s="1008">
        <f t="shared" si="12"/>
        <v>0</v>
      </c>
      <c r="CM29" s="1011">
        <f t="shared" si="13"/>
        <v>0</v>
      </c>
      <c r="CN29" s="1008">
        <f t="shared" si="14"/>
        <v>0</v>
      </c>
      <c r="CO29" s="1008"/>
      <c r="CP29" s="1008"/>
      <c r="CQ29" s="1008"/>
      <c r="CR29" s="1008"/>
      <c r="CS29" s="1008"/>
      <c r="CT29" s="1008"/>
      <c r="CU29" s="1008"/>
      <c r="CV29" s="1008"/>
      <c r="CW29" s="1008"/>
      <c r="CX29" s="1008"/>
      <c r="CY29" s="1008"/>
      <c r="CZ29" s="1008"/>
      <c r="DA29" s="1008"/>
      <c r="DB29" s="1008"/>
      <c r="DC29" s="1008"/>
      <c r="DD29" s="1008"/>
      <c r="DE29" s="1008"/>
      <c r="DF29" s="1008"/>
      <c r="DG29" s="1008"/>
      <c r="DH29" s="1008"/>
      <c r="DI29" s="1011">
        <f t="shared" si="15"/>
        <v>1</v>
      </c>
      <c r="DJ29" s="1008">
        <f t="shared" si="16"/>
        <v>65000000</v>
      </c>
      <c r="DK29" s="1008">
        <f t="shared" si="17"/>
        <v>0</v>
      </c>
      <c r="DL29" s="1008">
        <f t="shared" si="17"/>
        <v>0</v>
      </c>
      <c r="DM29" s="1008"/>
      <c r="DN29" s="1008">
        <f t="shared" si="18"/>
        <v>0</v>
      </c>
      <c r="DO29" s="1008">
        <f t="shared" si="18"/>
        <v>0</v>
      </c>
      <c r="DP29" s="1008">
        <f t="shared" si="18"/>
        <v>0</v>
      </c>
      <c r="DQ29" s="1008">
        <f t="shared" si="18"/>
        <v>0</v>
      </c>
      <c r="DR29" s="1008"/>
      <c r="DS29" s="1008">
        <f t="shared" si="19"/>
        <v>0</v>
      </c>
      <c r="DT29" s="1008">
        <f t="shared" si="19"/>
        <v>0</v>
      </c>
      <c r="DU29" s="1008"/>
      <c r="DV29" s="1008">
        <f t="shared" si="20"/>
        <v>0</v>
      </c>
      <c r="DW29" s="1008">
        <f t="shared" si="20"/>
        <v>0</v>
      </c>
      <c r="DX29" s="1008">
        <f t="shared" si="20"/>
        <v>35000000</v>
      </c>
      <c r="DY29" s="1008">
        <f t="shared" si="21"/>
        <v>30000000</v>
      </c>
      <c r="DZ29" s="1008">
        <f t="shared" si="21"/>
        <v>0</v>
      </c>
      <c r="EA29" s="1008">
        <f t="shared" si="21"/>
        <v>0</v>
      </c>
      <c r="EB29" s="1008">
        <f t="shared" si="21"/>
        <v>0</v>
      </c>
      <c r="EC29" s="1008"/>
      <c r="ED29" s="1008">
        <f t="shared" si="22"/>
        <v>0</v>
      </c>
    </row>
    <row r="30" spans="1:134" ht="36" customHeight="1" x14ac:dyDescent="0.25">
      <c r="A30" s="1562"/>
      <c r="B30" s="1547" t="s">
        <v>4305</v>
      </c>
      <c r="C30" s="1094" t="s">
        <v>4404</v>
      </c>
      <c r="D30" s="1019" t="s">
        <v>4700</v>
      </c>
      <c r="E30" s="1020">
        <v>510</v>
      </c>
      <c r="F30" s="1097" t="s">
        <v>4660</v>
      </c>
      <c r="G30" s="1399">
        <v>111000000</v>
      </c>
      <c r="H30" s="1061">
        <f t="shared" si="0"/>
        <v>876100</v>
      </c>
      <c r="I30" s="1061">
        <f t="shared" si="1"/>
        <v>1123900</v>
      </c>
      <c r="J30" s="1399" t="s">
        <v>4776</v>
      </c>
      <c r="K30" s="1283" t="s">
        <v>4777</v>
      </c>
      <c r="L30" s="1283" t="s">
        <v>4778</v>
      </c>
      <c r="M30" s="1093">
        <v>0</v>
      </c>
      <c r="N30" s="1093">
        <v>0</v>
      </c>
      <c r="O30" s="1093">
        <v>0</v>
      </c>
      <c r="P30" s="1093">
        <v>44</v>
      </c>
      <c r="Q30" s="1093">
        <v>10</v>
      </c>
      <c r="R30" s="1093">
        <v>40</v>
      </c>
      <c r="S30" s="1101"/>
      <c r="T30" s="1101"/>
      <c r="U30" s="1101"/>
      <c r="V30" s="1101"/>
      <c r="W30" s="1101"/>
      <c r="X30" s="1101"/>
      <c r="Y30" s="1008">
        <f t="shared" si="2"/>
        <v>2000000</v>
      </c>
      <c r="Z30" s="1008"/>
      <c r="AA30" s="1008"/>
      <c r="AB30" s="1008"/>
      <c r="AC30" s="1008"/>
      <c r="AD30" s="1008"/>
      <c r="AE30" s="1008"/>
      <c r="AF30" s="1008"/>
      <c r="AG30" s="1008"/>
      <c r="AH30" s="1008"/>
      <c r="AI30" s="1008"/>
      <c r="AJ30" s="1008"/>
      <c r="AK30" s="1008"/>
      <c r="AL30" s="1008"/>
      <c r="AM30" s="1008">
        <v>2000000</v>
      </c>
      <c r="AN30" s="1008"/>
      <c r="AO30" s="1008"/>
      <c r="AP30" s="1008"/>
      <c r="AQ30" s="1008"/>
      <c r="AR30" s="1008"/>
      <c r="AS30" s="1008"/>
      <c r="AU30" s="1011">
        <f t="shared" si="3"/>
        <v>0.97804999999999997</v>
      </c>
      <c r="AV30" s="1008">
        <f t="shared" si="4"/>
        <v>1956100</v>
      </c>
      <c r="AW30" s="1008"/>
      <c r="AX30" s="1008"/>
      <c r="AY30" s="1008"/>
      <c r="AZ30" s="1008"/>
      <c r="BA30" s="1008"/>
      <c r="BB30" s="1008"/>
      <c r="BC30" s="1008"/>
      <c r="BD30" s="1008"/>
      <c r="BE30" s="1008"/>
      <c r="BF30" s="1008"/>
      <c r="BG30" s="1008"/>
      <c r="BH30" s="1008"/>
      <c r="BI30" s="1008"/>
      <c r="BJ30" s="1008">
        <f>+'[18]OCTUBRE 2015'!$W$3096</f>
        <v>1956100</v>
      </c>
      <c r="BK30" s="1008"/>
      <c r="BL30" s="1008"/>
      <c r="BM30" s="1008"/>
      <c r="BN30" s="1008"/>
      <c r="BO30" s="1008"/>
      <c r="BP30" s="1008"/>
      <c r="BQ30" s="1011">
        <f t="shared" si="25"/>
        <v>2.1950000000000025E-2</v>
      </c>
      <c r="BR30" s="1008">
        <f t="shared" si="6"/>
        <v>43900</v>
      </c>
      <c r="BS30" s="1008">
        <f t="shared" si="7"/>
        <v>0</v>
      </c>
      <c r="BT30" s="1008">
        <f t="shared" si="23"/>
        <v>0</v>
      </c>
      <c r="BU30" s="1008"/>
      <c r="BV30" s="1008">
        <f t="shared" si="9"/>
        <v>0</v>
      </c>
      <c r="BW30" s="1008"/>
      <c r="BX30" s="1008">
        <f t="shared" si="10"/>
        <v>0</v>
      </c>
      <c r="BY30" s="1008">
        <f t="shared" si="10"/>
        <v>0</v>
      </c>
      <c r="BZ30" s="1008"/>
      <c r="CA30" s="1008"/>
      <c r="CB30" s="1008"/>
      <c r="CC30" s="1008"/>
      <c r="CD30" s="1008">
        <f t="shared" si="24"/>
        <v>0</v>
      </c>
      <c r="CE30" s="1008">
        <f t="shared" si="24"/>
        <v>0</v>
      </c>
      <c r="CF30" s="1008">
        <f t="shared" si="24"/>
        <v>43900</v>
      </c>
      <c r="CG30" s="1008">
        <f t="shared" si="24"/>
        <v>0</v>
      </c>
      <c r="CH30" s="1008">
        <f t="shared" si="24"/>
        <v>0</v>
      </c>
      <c r="CI30" s="1008">
        <f t="shared" si="24"/>
        <v>0</v>
      </c>
      <c r="CJ30" s="1008"/>
      <c r="CK30" s="1008"/>
      <c r="CL30" s="1008">
        <f t="shared" si="12"/>
        <v>0</v>
      </c>
      <c r="CM30" s="1011">
        <f t="shared" si="13"/>
        <v>0.43804999999999999</v>
      </c>
      <c r="CN30" s="1008">
        <f t="shared" si="14"/>
        <v>876100</v>
      </c>
      <c r="CO30" s="1008"/>
      <c r="CP30" s="1008"/>
      <c r="CQ30" s="1008"/>
      <c r="CR30" s="1008"/>
      <c r="CS30" s="1008"/>
      <c r="CT30" s="1008"/>
      <c r="CU30" s="1008"/>
      <c r="CV30" s="1008"/>
      <c r="CW30" s="1008"/>
      <c r="CX30" s="1008"/>
      <c r="CY30" s="1008"/>
      <c r="CZ30" s="1008"/>
      <c r="DA30" s="1008"/>
      <c r="DB30" s="1008">
        <f>+'[10]MARZO 2015'!$H$1089</f>
        <v>876100</v>
      </c>
      <c r="DC30" s="1008"/>
      <c r="DD30" s="1008"/>
      <c r="DE30" s="1008"/>
      <c r="DF30" s="1008"/>
      <c r="DG30" s="1008"/>
      <c r="DH30" s="1008"/>
      <c r="DI30" s="1011">
        <f t="shared" si="15"/>
        <v>0.56194999999999995</v>
      </c>
      <c r="DJ30" s="1008">
        <f t="shared" si="16"/>
        <v>1123900</v>
      </c>
      <c r="DK30" s="1008">
        <f t="shared" si="17"/>
        <v>0</v>
      </c>
      <c r="DL30" s="1008">
        <f t="shared" si="17"/>
        <v>0</v>
      </c>
      <c r="DM30" s="1008"/>
      <c r="DN30" s="1008">
        <f t="shared" si="18"/>
        <v>0</v>
      </c>
      <c r="DO30" s="1008">
        <f t="shared" si="18"/>
        <v>0</v>
      </c>
      <c r="DP30" s="1008">
        <f t="shared" si="18"/>
        <v>0</v>
      </c>
      <c r="DQ30" s="1008">
        <f t="shared" si="18"/>
        <v>0</v>
      </c>
      <c r="DR30" s="1008"/>
      <c r="DS30" s="1008">
        <f t="shared" si="19"/>
        <v>0</v>
      </c>
      <c r="DT30" s="1008">
        <f t="shared" si="19"/>
        <v>0</v>
      </c>
      <c r="DU30" s="1008"/>
      <c r="DV30" s="1008">
        <f t="shared" si="20"/>
        <v>0</v>
      </c>
      <c r="DW30" s="1008">
        <f t="shared" si="20"/>
        <v>0</v>
      </c>
      <c r="DX30" s="1008">
        <f t="shared" si="20"/>
        <v>1123900</v>
      </c>
      <c r="DY30" s="1008">
        <f t="shared" si="21"/>
        <v>0</v>
      </c>
      <c r="DZ30" s="1008">
        <f t="shared" si="21"/>
        <v>0</v>
      </c>
      <c r="EA30" s="1008">
        <f t="shared" si="21"/>
        <v>0</v>
      </c>
      <c r="EB30" s="1008">
        <f t="shared" si="21"/>
        <v>0</v>
      </c>
      <c r="EC30" s="1008"/>
      <c r="ED30" s="1008">
        <f t="shared" si="22"/>
        <v>0</v>
      </c>
    </row>
    <row r="31" spans="1:134" ht="26.25" customHeight="1" x14ac:dyDescent="0.25">
      <c r="A31" s="1562"/>
      <c r="B31" s="1548"/>
      <c r="C31" s="1094" t="s">
        <v>4581</v>
      </c>
      <c r="D31" s="1019" t="s">
        <v>4600</v>
      </c>
      <c r="E31" s="1020">
        <v>510</v>
      </c>
      <c r="F31" s="1097" t="s">
        <v>4660</v>
      </c>
      <c r="G31" s="1400"/>
      <c r="H31" s="1061">
        <f t="shared" si="0"/>
        <v>28219872</v>
      </c>
      <c r="I31" s="1061">
        <f t="shared" si="1"/>
        <v>32780128</v>
      </c>
      <c r="J31" s="1400"/>
      <c r="K31" s="1573"/>
      <c r="L31" s="1573"/>
      <c r="M31" s="1093">
        <v>0</v>
      </c>
      <c r="N31" s="1093">
        <v>0</v>
      </c>
      <c r="O31" s="1093">
        <v>0</v>
      </c>
      <c r="P31" s="1093">
        <v>27</v>
      </c>
      <c r="Q31" s="1093">
        <v>40</v>
      </c>
      <c r="R31" s="1093">
        <v>11</v>
      </c>
      <c r="S31" s="1102"/>
      <c r="T31" s="1102"/>
      <c r="U31" s="1102"/>
      <c r="V31" s="1102"/>
      <c r="W31" s="1102"/>
      <c r="X31" s="1102"/>
      <c r="Y31" s="1008">
        <f t="shared" si="2"/>
        <v>61000000</v>
      </c>
      <c r="Z31" s="1008"/>
      <c r="AA31" s="1008"/>
      <c r="AB31" s="1008"/>
      <c r="AC31" s="1008"/>
      <c r="AD31" s="1008"/>
      <c r="AE31" s="1008"/>
      <c r="AF31" s="1008"/>
      <c r="AG31" s="1008"/>
      <c r="AH31" s="1008"/>
      <c r="AI31" s="1008"/>
      <c r="AJ31" s="1008"/>
      <c r="AK31" s="1008"/>
      <c r="AL31" s="1008"/>
      <c r="AM31" s="1008">
        <v>40000000</v>
      </c>
      <c r="AN31" s="1008"/>
      <c r="AO31" s="1008"/>
      <c r="AP31" s="1008"/>
      <c r="AQ31" s="1008"/>
      <c r="AR31" s="1008"/>
      <c r="AS31" s="1008">
        <v>21000000</v>
      </c>
      <c r="AU31" s="1011">
        <f t="shared" si="3"/>
        <v>0.62474659016393441</v>
      </c>
      <c r="AV31" s="1008">
        <f t="shared" si="4"/>
        <v>38109542</v>
      </c>
      <c r="AW31" s="1008"/>
      <c r="AX31" s="1008"/>
      <c r="AY31" s="1008"/>
      <c r="AZ31" s="1008"/>
      <c r="BA31" s="1008"/>
      <c r="BB31" s="1008"/>
      <c r="BC31" s="1008"/>
      <c r="BD31" s="1008"/>
      <c r="BE31" s="1008"/>
      <c r="BF31" s="1008"/>
      <c r="BG31" s="1008"/>
      <c r="BH31" s="1008"/>
      <c r="BI31" s="1008"/>
      <c r="BJ31" s="1008">
        <f>+'[18]OCTUBRE 2015'!$W$3102</f>
        <v>38109542</v>
      </c>
      <c r="BK31" s="1008"/>
      <c r="BL31" s="1008"/>
      <c r="BM31" s="1008"/>
      <c r="BN31" s="1008"/>
      <c r="BO31" s="1008"/>
      <c r="BP31" s="1008"/>
      <c r="BQ31" s="1011">
        <f t="shared" si="25"/>
        <v>0.37525340983606559</v>
      </c>
      <c r="BR31" s="1008">
        <f t="shared" si="6"/>
        <v>22890458</v>
      </c>
      <c r="BS31" s="1008">
        <f t="shared" si="7"/>
        <v>0</v>
      </c>
      <c r="BT31" s="1008">
        <f t="shared" si="23"/>
        <v>0</v>
      </c>
      <c r="BU31" s="1008"/>
      <c r="BV31" s="1008">
        <f t="shared" si="9"/>
        <v>0</v>
      </c>
      <c r="BW31" s="1008"/>
      <c r="BX31" s="1008">
        <f t="shared" si="10"/>
        <v>0</v>
      </c>
      <c r="BY31" s="1008">
        <f t="shared" si="10"/>
        <v>0</v>
      </c>
      <c r="BZ31" s="1008"/>
      <c r="CA31" s="1008"/>
      <c r="CB31" s="1008"/>
      <c r="CC31" s="1008"/>
      <c r="CD31" s="1008">
        <f t="shared" si="24"/>
        <v>0</v>
      </c>
      <c r="CE31" s="1008">
        <f t="shared" si="24"/>
        <v>0</v>
      </c>
      <c r="CF31" s="1008">
        <f t="shared" si="24"/>
        <v>1890458</v>
      </c>
      <c r="CG31" s="1008">
        <f t="shared" si="24"/>
        <v>0</v>
      </c>
      <c r="CH31" s="1008">
        <f t="shared" si="24"/>
        <v>0</v>
      </c>
      <c r="CI31" s="1008">
        <f t="shared" si="24"/>
        <v>0</v>
      </c>
      <c r="CJ31" s="1008"/>
      <c r="CK31" s="1008"/>
      <c r="CL31" s="1008">
        <f t="shared" si="12"/>
        <v>21000000</v>
      </c>
      <c r="CM31" s="1011">
        <f t="shared" si="13"/>
        <v>0.46262085245901641</v>
      </c>
      <c r="CN31" s="1008">
        <f t="shared" si="14"/>
        <v>28219872</v>
      </c>
      <c r="CO31" s="1008"/>
      <c r="CP31" s="1008"/>
      <c r="CQ31" s="1008"/>
      <c r="CR31" s="1008"/>
      <c r="CS31" s="1008"/>
      <c r="CT31" s="1008"/>
      <c r="CU31" s="1008"/>
      <c r="CV31" s="1008"/>
      <c r="CW31" s="1008"/>
      <c r="CX31" s="1008"/>
      <c r="CY31" s="1008"/>
      <c r="CZ31" s="1008"/>
      <c r="DA31" s="1008"/>
      <c r="DB31" s="1008">
        <f>+'[18]OCTUBRE 2015'!$H$3100</f>
        <v>28219872</v>
      </c>
      <c r="DC31" s="1008"/>
      <c r="DD31" s="1008"/>
      <c r="DE31" s="1008"/>
      <c r="DF31" s="1008"/>
      <c r="DG31" s="1008"/>
      <c r="DH31" s="1008"/>
      <c r="DI31" s="1011">
        <f t="shared" si="15"/>
        <v>0.53737914754098359</v>
      </c>
      <c r="DJ31" s="1008">
        <f t="shared" si="16"/>
        <v>32780128</v>
      </c>
      <c r="DK31" s="1008">
        <f t="shared" si="17"/>
        <v>0</v>
      </c>
      <c r="DL31" s="1008">
        <f t="shared" si="17"/>
        <v>0</v>
      </c>
      <c r="DM31" s="1008"/>
      <c r="DN31" s="1008">
        <f t="shared" si="18"/>
        <v>0</v>
      </c>
      <c r="DO31" s="1008">
        <f t="shared" si="18"/>
        <v>0</v>
      </c>
      <c r="DP31" s="1008">
        <f t="shared" si="18"/>
        <v>0</v>
      </c>
      <c r="DQ31" s="1008">
        <f t="shared" si="18"/>
        <v>0</v>
      </c>
      <c r="DR31" s="1008"/>
      <c r="DS31" s="1008">
        <f t="shared" si="19"/>
        <v>0</v>
      </c>
      <c r="DT31" s="1008">
        <f t="shared" si="19"/>
        <v>0</v>
      </c>
      <c r="DU31" s="1008"/>
      <c r="DV31" s="1008">
        <f t="shared" si="20"/>
        <v>0</v>
      </c>
      <c r="DW31" s="1008">
        <f t="shared" si="20"/>
        <v>0</v>
      </c>
      <c r="DX31" s="1008">
        <f t="shared" si="20"/>
        <v>11780128</v>
      </c>
      <c r="DY31" s="1008">
        <f t="shared" si="21"/>
        <v>0</v>
      </c>
      <c r="DZ31" s="1008">
        <f t="shared" si="21"/>
        <v>0</v>
      </c>
      <c r="EA31" s="1008">
        <f t="shared" si="21"/>
        <v>0</v>
      </c>
      <c r="EB31" s="1008">
        <f t="shared" si="21"/>
        <v>0</v>
      </c>
      <c r="EC31" s="1008"/>
      <c r="ED31" s="1008">
        <f t="shared" si="22"/>
        <v>21000000</v>
      </c>
    </row>
    <row r="32" spans="1:134" ht="39" customHeight="1" x14ac:dyDescent="0.25">
      <c r="A32" s="1562"/>
      <c r="B32" s="1548"/>
      <c r="C32" s="1094" t="s">
        <v>4582</v>
      </c>
      <c r="D32" s="1019" t="s">
        <v>4579</v>
      </c>
      <c r="E32" s="1020">
        <v>510</v>
      </c>
      <c r="F32" s="1097" t="s">
        <v>4660</v>
      </c>
      <c r="G32" s="1400"/>
      <c r="H32" s="1061">
        <f t="shared" si="0"/>
        <v>10640000</v>
      </c>
      <c r="I32" s="1061">
        <f t="shared" si="1"/>
        <v>39360000</v>
      </c>
      <c r="J32" s="1400"/>
      <c r="K32" s="1573"/>
      <c r="L32" s="1573"/>
      <c r="M32" s="1093">
        <v>0</v>
      </c>
      <c r="N32" s="1093">
        <v>0</v>
      </c>
      <c r="O32" s="1093">
        <v>0</v>
      </c>
      <c r="P32" s="1093">
        <v>0</v>
      </c>
      <c r="Q32" s="1093">
        <v>40</v>
      </c>
      <c r="R32" s="1093">
        <v>0</v>
      </c>
      <c r="S32" s="1102"/>
      <c r="T32" s="1102"/>
      <c r="U32" s="1102"/>
      <c r="V32" s="1102"/>
      <c r="W32" s="1102"/>
      <c r="X32" s="1102"/>
      <c r="Y32" s="1008">
        <f t="shared" si="2"/>
        <v>50000000</v>
      </c>
      <c r="Z32" s="1008"/>
      <c r="AA32" s="1008"/>
      <c r="AB32" s="1008"/>
      <c r="AC32" s="1008"/>
      <c r="AD32" s="1008"/>
      <c r="AE32" s="1008"/>
      <c r="AF32" s="1008"/>
      <c r="AG32" s="1008"/>
      <c r="AH32" s="1008"/>
      <c r="AI32" s="1008"/>
      <c r="AJ32" s="1008"/>
      <c r="AK32" s="1008"/>
      <c r="AL32" s="1008"/>
      <c r="AM32" s="1008">
        <v>40000000</v>
      </c>
      <c r="AN32" s="1008">
        <v>10000000</v>
      </c>
      <c r="AO32" s="1008"/>
      <c r="AP32" s="1008"/>
      <c r="AQ32" s="1008"/>
      <c r="AR32" s="1008"/>
      <c r="AS32" s="1008"/>
      <c r="AU32" s="1011">
        <f t="shared" si="3"/>
        <v>0.95281987999999995</v>
      </c>
      <c r="AV32" s="1008">
        <f t="shared" si="4"/>
        <v>47640994</v>
      </c>
      <c r="AW32" s="1008"/>
      <c r="AX32" s="1008"/>
      <c r="AY32" s="1008"/>
      <c r="AZ32" s="1008"/>
      <c r="BA32" s="1008"/>
      <c r="BB32" s="1008"/>
      <c r="BC32" s="1008"/>
      <c r="BD32" s="1008"/>
      <c r="BE32" s="1008"/>
      <c r="BF32" s="1008"/>
      <c r="BG32" s="1008"/>
      <c r="BH32" s="1008"/>
      <c r="BI32" s="1008"/>
      <c r="BJ32" s="1008">
        <f>+'[14]JUNIO 2015'!$W$1673</f>
        <v>40000000</v>
      </c>
      <c r="BK32" s="1008">
        <f>+'[14]JUNIO 2015'!$X$1673</f>
        <v>7640994</v>
      </c>
      <c r="BL32" s="1008"/>
      <c r="BM32" s="1008"/>
      <c r="BN32" s="1008"/>
      <c r="BO32" s="1008"/>
      <c r="BP32" s="1008"/>
      <c r="BQ32" s="1011">
        <f t="shared" si="25"/>
        <v>4.7180120000000048E-2</v>
      </c>
      <c r="BR32" s="1008">
        <f t="shared" si="6"/>
        <v>2359006</v>
      </c>
      <c r="BS32" s="1008">
        <f t="shared" si="7"/>
        <v>0</v>
      </c>
      <c r="BT32" s="1008">
        <f t="shared" si="23"/>
        <v>0</v>
      </c>
      <c r="BU32" s="1008"/>
      <c r="BV32" s="1008">
        <f t="shared" si="9"/>
        <v>0</v>
      </c>
      <c r="BW32" s="1008"/>
      <c r="BX32" s="1008">
        <f t="shared" si="10"/>
        <v>0</v>
      </c>
      <c r="BY32" s="1008">
        <f t="shared" si="10"/>
        <v>0</v>
      </c>
      <c r="BZ32" s="1008"/>
      <c r="CA32" s="1008"/>
      <c r="CB32" s="1008"/>
      <c r="CC32" s="1008"/>
      <c r="CD32" s="1008">
        <f t="shared" si="24"/>
        <v>0</v>
      </c>
      <c r="CE32" s="1008">
        <f t="shared" si="24"/>
        <v>0</v>
      </c>
      <c r="CF32" s="1008">
        <f t="shared" si="24"/>
        <v>0</v>
      </c>
      <c r="CG32" s="1008">
        <f t="shared" si="24"/>
        <v>2359006</v>
      </c>
      <c r="CH32" s="1008">
        <f t="shared" si="24"/>
        <v>0</v>
      </c>
      <c r="CI32" s="1008">
        <f t="shared" si="24"/>
        <v>0</v>
      </c>
      <c r="CJ32" s="1008"/>
      <c r="CK32" s="1008"/>
      <c r="CL32" s="1008">
        <f t="shared" si="12"/>
        <v>0</v>
      </c>
      <c r="CM32" s="1011">
        <f t="shared" si="13"/>
        <v>0.21279999999999999</v>
      </c>
      <c r="CN32" s="1008">
        <f t="shared" si="14"/>
        <v>10640000</v>
      </c>
      <c r="CO32" s="1008"/>
      <c r="CP32" s="1008"/>
      <c r="CQ32" s="1008"/>
      <c r="CR32" s="1008"/>
      <c r="CS32" s="1008"/>
      <c r="CT32" s="1008"/>
      <c r="CU32" s="1008"/>
      <c r="CV32" s="1008"/>
      <c r="CW32" s="1008"/>
      <c r="CX32" s="1008"/>
      <c r="CY32" s="1008"/>
      <c r="CZ32" s="1008"/>
      <c r="DA32" s="1008"/>
      <c r="DB32" s="1008">
        <f>+'[15]JULIO 2015'!$W$1957</f>
        <v>3000000</v>
      </c>
      <c r="DC32" s="1008">
        <f>+'[15]JULIO 2015'!$H$1958-DB32</f>
        <v>7640000</v>
      </c>
      <c r="DD32" s="1008"/>
      <c r="DE32" s="1008"/>
      <c r="DF32" s="1008"/>
      <c r="DG32" s="1008"/>
      <c r="DH32" s="1008"/>
      <c r="DI32" s="1011">
        <f t="shared" si="15"/>
        <v>0.78720000000000001</v>
      </c>
      <c r="DJ32" s="1008">
        <f t="shared" si="16"/>
        <v>39360000</v>
      </c>
      <c r="DK32" s="1008">
        <f t="shared" si="17"/>
        <v>0</v>
      </c>
      <c r="DL32" s="1008">
        <f t="shared" si="17"/>
        <v>0</v>
      </c>
      <c r="DM32" s="1008"/>
      <c r="DN32" s="1008">
        <f t="shared" si="18"/>
        <v>0</v>
      </c>
      <c r="DO32" s="1008">
        <f t="shared" si="18"/>
        <v>0</v>
      </c>
      <c r="DP32" s="1008">
        <f t="shared" si="18"/>
        <v>0</v>
      </c>
      <c r="DQ32" s="1008">
        <f t="shared" si="18"/>
        <v>0</v>
      </c>
      <c r="DR32" s="1008"/>
      <c r="DS32" s="1008">
        <f t="shared" si="19"/>
        <v>0</v>
      </c>
      <c r="DT32" s="1008">
        <f t="shared" si="19"/>
        <v>0</v>
      </c>
      <c r="DU32" s="1008"/>
      <c r="DV32" s="1008">
        <f t="shared" si="20"/>
        <v>0</v>
      </c>
      <c r="DW32" s="1008">
        <f t="shared" si="20"/>
        <v>0</v>
      </c>
      <c r="DX32" s="1008">
        <f t="shared" si="20"/>
        <v>37000000</v>
      </c>
      <c r="DY32" s="1008">
        <f t="shared" si="21"/>
        <v>2360000</v>
      </c>
      <c r="DZ32" s="1008">
        <f t="shared" si="21"/>
        <v>0</v>
      </c>
      <c r="EA32" s="1008">
        <f t="shared" si="21"/>
        <v>0</v>
      </c>
      <c r="EB32" s="1008">
        <f t="shared" si="21"/>
        <v>0</v>
      </c>
      <c r="EC32" s="1008"/>
      <c r="ED32" s="1008">
        <f t="shared" si="22"/>
        <v>0</v>
      </c>
    </row>
    <row r="33" spans="1:134" ht="31.5" customHeight="1" x14ac:dyDescent="0.25">
      <c r="A33" s="1562"/>
      <c r="B33" s="1549"/>
      <c r="C33" s="1094" t="s">
        <v>4583</v>
      </c>
      <c r="D33" s="1019" t="s">
        <v>4580</v>
      </c>
      <c r="E33" s="1020">
        <v>510</v>
      </c>
      <c r="F33" s="1097" t="s">
        <v>4729</v>
      </c>
      <c r="G33" s="1401"/>
      <c r="H33" s="1061">
        <f t="shared" si="0"/>
        <v>5310036</v>
      </c>
      <c r="I33" s="1061">
        <f t="shared" si="1"/>
        <v>7689964</v>
      </c>
      <c r="J33" s="1401"/>
      <c r="K33" s="1284"/>
      <c r="L33" s="1284"/>
      <c r="M33" s="1093">
        <v>0</v>
      </c>
      <c r="N33" s="1093">
        <v>0</v>
      </c>
      <c r="O33" s="1093">
        <v>0</v>
      </c>
      <c r="P33" s="1093">
        <v>7</v>
      </c>
      <c r="Q33" s="1093">
        <v>50</v>
      </c>
      <c r="R33" s="1093">
        <v>4</v>
      </c>
      <c r="S33" s="1103"/>
      <c r="T33" s="1103"/>
      <c r="U33" s="1103"/>
      <c r="V33" s="1103"/>
      <c r="W33" s="1103"/>
      <c r="X33" s="1103"/>
      <c r="Y33" s="1008">
        <f t="shared" si="2"/>
        <v>13000000</v>
      </c>
      <c r="Z33" s="1008"/>
      <c r="AA33" s="1008"/>
      <c r="AB33" s="1008"/>
      <c r="AC33" s="1008"/>
      <c r="AD33" s="1008"/>
      <c r="AE33" s="1008"/>
      <c r="AF33" s="1008"/>
      <c r="AG33" s="1008"/>
      <c r="AH33" s="1008"/>
      <c r="AI33" s="1008"/>
      <c r="AJ33" s="1008"/>
      <c r="AK33" s="1008"/>
      <c r="AL33" s="1008"/>
      <c r="AM33" s="1008">
        <v>8000000</v>
      </c>
      <c r="AN33" s="1008"/>
      <c r="AO33" s="1008"/>
      <c r="AP33" s="1008"/>
      <c r="AQ33" s="1008"/>
      <c r="AR33" s="1008"/>
      <c r="AS33" s="1008">
        <v>5000000</v>
      </c>
      <c r="AU33" s="1011">
        <f t="shared" si="3"/>
        <v>0.94291599999999998</v>
      </c>
      <c r="AV33" s="1008">
        <f t="shared" si="4"/>
        <v>12257908</v>
      </c>
      <c r="AW33" s="1008"/>
      <c r="AX33" s="1008"/>
      <c r="AY33" s="1008"/>
      <c r="AZ33" s="1008"/>
      <c r="BA33" s="1008"/>
      <c r="BB33" s="1008"/>
      <c r="BC33" s="1008"/>
      <c r="BD33" s="1008"/>
      <c r="BE33" s="1008"/>
      <c r="BF33" s="1008"/>
      <c r="BG33" s="1008"/>
      <c r="BH33" s="1008"/>
      <c r="BI33" s="1008"/>
      <c r="BJ33" s="1008">
        <f>+'[18]OCTUBRE 2015'!$W$3139</f>
        <v>7257908</v>
      </c>
      <c r="BK33" s="1008"/>
      <c r="BL33" s="1008"/>
      <c r="BM33" s="1008"/>
      <c r="BN33" s="1008"/>
      <c r="BO33" s="1008"/>
      <c r="BP33" s="1008">
        <f>+'[15]JULIO 2015'!$AD$1962</f>
        <v>5000000</v>
      </c>
      <c r="BQ33" s="1011">
        <f t="shared" si="25"/>
        <v>5.7084000000000024E-2</v>
      </c>
      <c r="BR33" s="1008">
        <f t="shared" si="6"/>
        <v>742092</v>
      </c>
      <c r="BS33" s="1008">
        <f t="shared" si="7"/>
        <v>0</v>
      </c>
      <c r="BT33" s="1008">
        <f t="shared" si="23"/>
        <v>0</v>
      </c>
      <c r="BU33" s="1008"/>
      <c r="BV33" s="1008">
        <f t="shared" si="9"/>
        <v>0</v>
      </c>
      <c r="BW33" s="1008"/>
      <c r="BX33" s="1008">
        <f t="shared" si="10"/>
        <v>0</v>
      </c>
      <c r="BY33" s="1008">
        <f t="shared" si="10"/>
        <v>0</v>
      </c>
      <c r="BZ33" s="1008"/>
      <c r="CA33" s="1008"/>
      <c r="CB33" s="1008"/>
      <c r="CC33" s="1008"/>
      <c r="CD33" s="1008">
        <f t="shared" si="24"/>
        <v>0</v>
      </c>
      <c r="CE33" s="1008">
        <f t="shared" si="24"/>
        <v>0</v>
      </c>
      <c r="CF33" s="1008">
        <f t="shared" si="24"/>
        <v>742092</v>
      </c>
      <c r="CG33" s="1008">
        <f t="shared" si="24"/>
        <v>0</v>
      </c>
      <c r="CH33" s="1008">
        <f t="shared" si="24"/>
        <v>0</v>
      </c>
      <c r="CI33" s="1008">
        <f t="shared" si="24"/>
        <v>0</v>
      </c>
      <c r="CJ33" s="1008"/>
      <c r="CK33" s="1008"/>
      <c r="CL33" s="1008">
        <f t="shared" si="12"/>
        <v>0</v>
      </c>
      <c r="CM33" s="1011">
        <f t="shared" si="13"/>
        <v>0.40846430769230768</v>
      </c>
      <c r="CN33" s="1008">
        <f t="shared" si="14"/>
        <v>5310036</v>
      </c>
      <c r="CO33" s="1008"/>
      <c r="CP33" s="1008"/>
      <c r="CQ33" s="1008"/>
      <c r="CR33" s="1008"/>
      <c r="CS33" s="1008"/>
      <c r="CT33" s="1008"/>
      <c r="CU33" s="1008"/>
      <c r="CV33" s="1008"/>
      <c r="CW33" s="1008"/>
      <c r="CX33" s="1008"/>
      <c r="CY33" s="1008"/>
      <c r="CZ33" s="1008"/>
      <c r="DA33" s="1008"/>
      <c r="DB33" s="1008">
        <f>+'[18]OCTUBRE 2015'!$H$3137</f>
        <v>5310036</v>
      </c>
      <c r="DC33" s="1008"/>
      <c r="DD33" s="1008"/>
      <c r="DE33" s="1008"/>
      <c r="DF33" s="1008"/>
      <c r="DG33" s="1008"/>
      <c r="DH33" s="1008"/>
      <c r="DI33" s="1011">
        <f t="shared" si="15"/>
        <v>0.59153569230769232</v>
      </c>
      <c r="DJ33" s="1008">
        <f t="shared" si="16"/>
        <v>7689964</v>
      </c>
      <c r="DK33" s="1008">
        <f t="shared" si="17"/>
        <v>0</v>
      </c>
      <c r="DL33" s="1008">
        <f t="shared" si="17"/>
        <v>0</v>
      </c>
      <c r="DM33" s="1008"/>
      <c r="DN33" s="1008">
        <f>AC33-CR33</f>
        <v>0</v>
      </c>
      <c r="DO33" s="1008"/>
      <c r="DP33" s="1008">
        <f>AE33-CT33</f>
        <v>0</v>
      </c>
      <c r="DQ33" s="1008">
        <f>AF33-CU33</f>
        <v>0</v>
      </c>
      <c r="DR33" s="1008"/>
      <c r="DS33" s="1008">
        <f t="shared" si="19"/>
        <v>0</v>
      </c>
      <c r="DT33" s="1008">
        <f t="shared" si="19"/>
        <v>0</v>
      </c>
      <c r="DU33" s="1008"/>
      <c r="DV33" s="1008">
        <f t="shared" si="20"/>
        <v>0</v>
      </c>
      <c r="DW33" s="1008">
        <f t="shared" si="20"/>
        <v>0</v>
      </c>
      <c r="DX33" s="1008">
        <f t="shared" si="20"/>
        <v>2689964</v>
      </c>
      <c r="DY33" s="1008">
        <f t="shared" si="21"/>
        <v>0</v>
      </c>
      <c r="DZ33" s="1008">
        <f t="shared" si="21"/>
        <v>0</v>
      </c>
      <c r="EA33" s="1008">
        <f t="shared" si="21"/>
        <v>0</v>
      </c>
      <c r="EB33" s="1008">
        <f t="shared" si="21"/>
        <v>0</v>
      </c>
      <c r="EC33" s="1008"/>
      <c r="ED33" s="1008">
        <f t="shared" si="22"/>
        <v>5000000</v>
      </c>
    </row>
    <row r="34" spans="1:134" s="948" customFormat="1" ht="28.5" customHeight="1" thickBot="1" x14ac:dyDescent="0.3">
      <c r="A34" s="1058"/>
      <c r="B34" s="1550" t="s">
        <v>4339</v>
      </c>
      <c r="C34" s="1551"/>
      <c r="D34" s="1551"/>
      <c r="E34" s="1552"/>
      <c r="F34" s="1051"/>
      <c r="G34" s="1035">
        <f>SUM(G4:G33)</f>
        <v>1741000000</v>
      </c>
      <c r="H34" s="1035">
        <f>SUM(H4:H33)</f>
        <v>1122567751</v>
      </c>
      <c r="I34" s="1035">
        <f>SUM(I4:I33)</f>
        <v>754541012</v>
      </c>
      <c r="J34" s="1055"/>
      <c r="K34" s="1079"/>
      <c r="L34" s="1079"/>
      <c r="M34" s="1074"/>
      <c r="N34" s="1074"/>
      <c r="O34" s="1074"/>
      <c r="P34" s="1079"/>
      <c r="Q34" s="1079"/>
      <c r="R34" s="1079"/>
      <c r="S34" s="1055"/>
      <c r="T34" s="1055"/>
      <c r="U34" s="1055"/>
      <c r="V34" s="1055"/>
      <c r="W34" s="1055"/>
      <c r="X34" s="1055"/>
      <c r="Y34" s="1035">
        <f t="shared" ref="Y34:AS34" si="26">SUM(Y4:Y33)</f>
        <v>1877108763</v>
      </c>
      <c r="Z34" s="1035">
        <f t="shared" si="26"/>
        <v>0</v>
      </c>
      <c r="AA34" s="1035">
        <f t="shared" si="26"/>
        <v>0</v>
      </c>
      <c r="AB34" s="1035">
        <f t="shared" si="26"/>
        <v>0</v>
      </c>
      <c r="AC34" s="1035">
        <f t="shared" si="26"/>
        <v>0</v>
      </c>
      <c r="AD34" s="1035">
        <f t="shared" si="26"/>
        <v>0</v>
      </c>
      <c r="AE34" s="1035">
        <f t="shared" si="26"/>
        <v>680000000</v>
      </c>
      <c r="AF34" s="1035">
        <f t="shared" si="26"/>
        <v>321985144</v>
      </c>
      <c r="AG34" s="1035">
        <f t="shared" si="26"/>
        <v>0</v>
      </c>
      <c r="AH34" s="1035">
        <f t="shared" si="26"/>
        <v>0</v>
      </c>
      <c r="AI34" s="1035">
        <f t="shared" si="26"/>
        <v>0</v>
      </c>
      <c r="AJ34" s="1035">
        <f t="shared" si="26"/>
        <v>0</v>
      </c>
      <c r="AK34" s="1035">
        <f t="shared" si="26"/>
        <v>0</v>
      </c>
      <c r="AL34" s="1035">
        <f t="shared" si="26"/>
        <v>0</v>
      </c>
      <c r="AM34" s="1035">
        <f t="shared" si="26"/>
        <v>270000000</v>
      </c>
      <c r="AN34" s="1035">
        <f t="shared" si="26"/>
        <v>186000000</v>
      </c>
      <c r="AO34" s="1035">
        <f t="shared" si="26"/>
        <v>220000000</v>
      </c>
      <c r="AP34" s="1035">
        <f t="shared" si="26"/>
        <v>0</v>
      </c>
      <c r="AQ34" s="1035">
        <f t="shared" si="26"/>
        <v>0</v>
      </c>
      <c r="AR34" s="1035">
        <f t="shared" si="26"/>
        <v>0</v>
      </c>
      <c r="AS34" s="1035">
        <f t="shared" si="26"/>
        <v>199123619</v>
      </c>
      <c r="AT34" s="1026"/>
      <c r="AU34" s="1011">
        <f t="shared" si="3"/>
        <v>0.69953428638913662</v>
      </c>
      <c r="AV34" s="1035">
        <f>SUM(AV4:AV33)</f>
        <v>1313101939</v>
      </c>
      <c r="AW34" s="1035">
        <f>SUM(AW4:AW33)</f>
        <v>0</v>
      </c>
      <c r="AX34" s="1035">
        <f>SUM(AX4:AX33)</f>
        <v>0</v>
      </c>
      <c r="AY34" s="1035"/>
      <c r="AZ34" s="1035">
        <f t="shared" ref="AZ34:BP34" si="27">SUM(AZ4:AZ33)</f>
        <v>0</v>
      </c>
      <c r="BA34" s="1035">
        <f t="shared" si="27"/>
        <v>0</v>
      </c>
      <c r="BB34" s="1035">
        <f t="shared" si="27"/>
        <v>471107218</v>
      </c>
      <c r="BC34" s="1035">
        <f t="shared" si="27"/>
        <v>264170675</v>
      </c>
      <c r="BD34" s="1035">
        <f t="shared" si="27"/>
        <v>0</v>
      </c>
      <c r="BE34" s="1035">
        <f t="shared" si="27"/>
        <v>0</v>
      </c>
      <c r="BF34" s="1035">
        <f t="shared" si="27"/>
        <v>0</v>
      </c>
      <c r="BG34" s="1035">
        <f t="shared" si="27"/>
        <v>0</v>
      </c>
      <c r="BH34" s="1035">
        <f t="shared" si="27"/>
        <v>0</v>
      </c>
      <c r="BI34" s="1035">
        <f t="shared" si="27"/>
        <v>0</v>
      </c>
      <c r="BJ34" s="1035">
        <f t="shared" si="27"/>
        <v>152146280</v>
      </c>
      <c r="BK34" s="1035">
        <f t="shared" si="27"/>
        <v>37472943</v>
      </c>
      <c r="BL34" s="1035">
        <f t="shared" si="27"/>
        <v>220000000</v>
      </c>
      <c r="BM34" s="1035">
        <f t="shared" si="27"/>
        <v>0</v>
      </c>
      <c r="BN34" s="1035">
        <f t="shared" si="27"/>
        <v>0</v>
      </c>
      <c r="BO34" s="1035">
        <f t="shared" si="27"/>
        <v>0</v>
      </c>
      <c r="BP34" s="1035">
        <f t="shared" si="27"/>
        <v>168204823</v>
      </c>
      <c r="BQ34" s="1010">
        <f t="shared" si="25"/>
        <v>0.30046571361086338</v>
      </c>
      <c r="BR34" s="1035">
        <f t="shared" ref="BR34:CL34" si="28">SUM(BR4:BR33)</f>
        <v>564006824</v>
      </c>
      <c r="BS34" s="1035">
        <f t="shared" si="28"/>
        <v>0</v>
      </c>
      <c r="BT34" s="1035">
        <f t="shared" si="28"/>
        <v>0</v>
      </c>
      <c r="BU34" s="1035">
        <f t="shared" si="28"/>
        <v>0</v>
      </c>
      <c r="BV34" s="1035">
        <f t="shared" si="28"/>
        <v>0</v>
      </c>
      <c r="BW34" s="1035">
        <f t="shared" si="28"/>
        <v>0</v>
      </c>
      <c r="BX34" s="1035">
        <f t="shared" si="28"/>
        <v>208892782</v>
      </c>
      <c r="BY34" s="1035">
        <f t="shared" si="28"/>
        <v>57814469</v>
      </c>
      <c r="BZ34" s="1035">
        <f t="shared" si="28"/>
        <v>0</v>
      </c>
      <c r="CA34" s="1035">
        <f t="shared" si="28"/>
        <v>0</v>
      </c>
      <c r="CB34" s="1035">
        <f t="shared" si="28"/>
        <v>0</v>
      </c>
      <c r="CC34" s="1035">
        <f t="shared" si="28"/>
        <v>0</v>
      </c>
      <c r="CD34" s="1035">
        <f t="shared" si="28"/>
        <v>0</v>
      </c>
      <c r="CE34" s="1035">
        <f t="shared" si="28"/>
        <v>0</v>
      </c>
      <c r="CF34" s="1035">
        <f t="shared" si="28"/>
        <v>117853720</v>
      </c>
      <c r="CG34" s="1035">
        <f t="shared" si="28"/>
        <v>148527057</v>
      </c>
      <c r="CH34" s="1035">
        <f t="shared" si="28"/>
        <v>0</v>
      </c>
      <c r="CI34" s="1035">
        <f t="shared" si="28"/>
        <v>0</v>
      </c>
      <c r="CJ34" s="1035">
        <f t="shared" si="28"/>
        <v>0</v>
      </c>
      <c r="CK34" s="1035">
        <f t="shared" si="28"/>
        <v>0</v>
      </c>
      <c r="CL34" s="1035">
        <f t="shared" si="28"/>
        <v>30918796</v>
      </c>
      <c r="CM34" s="1010">
        <f t="shared" si="13"/>
        <v>0.59803021174218451</v>
      </c>
      <c r="CN34" s="1035">
        <f>SUM(CN4:CN33)</f>
        <v>1122567751</v>
      </c>
      <c r="CO34" s="1035">
        <f>SUM(CO4:CO33)</f>
        <v>0</v>
      </c>
      <c r="CP34" s="1035">
        <f>SUM(CP4:CP33)</f>
        <v>0</v>
      </c>
      <c r="CQ34" s="1035"/>
      <c r="CR34" s="1035">
        <f t="shared" ref="CR34:DH34" si="29">SUM(CR4:CR33)</f>
        <v>0</v>
      </c>
      <c r="CS34" s="1035">
        <f t="shared" si="29"/>
        <v>0</v>
      </c>
      <c r="CT34" s="1035">
        <f t="shared" si="29"/>
        <v>460678681</v>
      </c>
      <c r="CU34" s="1035">
        <f t="shared" si="29"/>
        <v>256875776</v>
      </c>
      <c r="CV34" s="1035">
        <f t="shared" si="29"/>
        <v>0</v>
      </c>
      <c r="CW34" s="1035">
        <f t="shared" si="29"/>
        <v>0</v>
      </c>
      <c r="CX34" s="1035">
        <f t="shared" si="29"/>
        <v>0</v>
      </c>
      <c r="CY34" s="1035">
        <f t="shared" si="29"/>
        <v>0</v>
      </c>
      <c r="CZ34" s="1035">
        <f t="shared" si="29"/>
        <v>0</v>
      </c>
      <c r="DA34" s="1035">
        <f t="shared" si="29"/>
        <v>0</v>
      </c>
      <c r="DB34" s="1035">
        <f t="shared" si="29"/>
        <v>88455538</v>
      </c>
      <c r="DC34" s="1035">
        <f t="shared" si="29"/>
        <v>10181949</v>
      </c>
      <c r="DD34" s="1035">
        <f t="shared" si="29"/>
        <v>182260775</v>
      </c>
      <c r="DE34" s="1035">
        <f t="shared" si="29"/>
        <v>0</v>
      </c>
      <c r="DF34" s="1035">
        <f t="shared" si="29"/>
        <v>0</v>
      </c>
      <c r="DG34" s="1035">
        <f t="shared" si="29"/>
        <v>0</v>
      </c>
      <c r="DH34" s="1035">
        <f t="shared" si="29"/>
        <v>124115032</v>
      </c>
      <c r="DI34" s="1010">
        <f t="shared" si="15"/>
        <v>0.40196978825781549</v>
      </c>
      <c r="DJ34" s="1035">
        <f>SUM(DJ4:DJ33)</f>
        <v>754541012</v>
      </c>
      <c r="DK34" s="1035">
        <f>SUM(DK4:DK33)</f>
        <v>0</v>
      </c>
      <c r="DL34" s="1035">
        <f>SUM(DL4:DL33)</f>
        <v>0</v>
      </c>
      <c r="DM34" s="1035"/>
      <c r="DN34" s="1035">
        <f t="shared" ref="DN34:ED34" si="30">SUM(DN4:DN33)</f>
        <v>0</v>
      </c>
      <c r="DO34" s="1035">
        <f t="shared" si="30"/>
        <v>0</v>
      </c>
      <c r="DP34" s="1035">
        <f t="shared" si="30"/>
        <v>219321319</v>
      </c>
      <c r="DQ34" s="1035">
        <f t="shared" si="30"/>
        <v>65109368</v>
      </c>
      <c r="DR34" s="1035">
        <f t="shared" si="30"/>
        <v>0</v>
      </c>
      <c r="DS34" s="1035">
        <f t="shared" si="30"/>
        <v>0</v>
      </c>
      <c r="DT34" s="1035">
        <f t="shared" si="30"/>
        <v>0</v>
      </c>
      <c r="DU34" s="1035">
        <f t="shared" si="30"/>
        <v>0</v>
      </c>
      <c r="DV34" s="1035">
        <f t="shared" si="30"/>
        <v>0</v>
      </c>
      <c r="DW34" s="1035">
        <f t="shared" si="30"/>
        <v>0</v>
      </c>
      <c r="DX34" s="1035">
        <f t="shared" si="30"/>
        <v>181544462</v>
      </c>
      <c r="DY34" s="1035">
        <f t="shared" si="30"/>
        <v>175818051</v>
      </c>
      <c r="DZ34" s="1035">
        <f t="shared" si="30"/>
        <v>37739225</v>
      </c>
      <c r="EA34" s="1035">
        <f t="shared" si="30"/>
        <v>0</v>
      </c>
      <c r="EB34" s="1035">
        <f t="shared" si="30"/>
        <v>0</v>
      </c>
      <c r="EC34" s="1035">
        <f t="shared" si="30"/>
        <v>0</v>
      </c>
      <c r="ED34" s="1043">
        <f t="shared" si="30"/>
        <v>75008587</v>
      </c>
    </row>
    <row r="35" spans="1:134" ht="49.5" customHeight="1" thickTop="1" x14ac:dyDescent="0.25">
      <c r="A35" s="1561" t="s">
        <v>4755</v>
      </c>
      <c r="B35" s="1027" t="s">
        <v>4306</v>
      </c>
      <c r="C35" s="1094" t="s">
        <v>4367</v>
      </c>
      <c r="D35" s="1019" t="s">
        <v>4601</v>
      </c>
      <c r="E35" s="1020">
        <v>410</v>
      </c>
      <c r="F35" s="1097" t="s">
        <v>3350</v>
      </c>
      <c r="G35" s="1563">
        <v>1000000000</v>
      </c>
      <c r="H35" s="1061">
        <f t="shared" ref="H35:H66" si="31">+CN35</f>
        <v>614924441</v>
      </c>
      <c r="I35" s="1061">
        <f t="shared" ref="I35:I66" si="32">Y35-H35</f>
        <v>8896440</v>
      </c>
      <c r="J35" s="1101" t="s">
        <v>4779</v>
      </c>
      <c r="K35" s="1095" t="s">
        <v>4780</v>
      </c>
      <c r="L35" s="1095" t="s">
        <v>4781</v>
      </c>
      <c r="M35" s="1093">
        <v>24</v>
      </c>
      <c r="N35" s="1093">
        <v>67</v>
      </c>
      <c r="O35" s="1093">
        <v>16</v>
      </c>
      <c r="P35" s="1095">
        <v>97</v>
      </c>
      <c r="Q35" s="1095">
        <v>200</v>
      </c>
      <c r="R35" s="1095">
        <v>195</v>
      </c>
      <c r="S35" s="1101"/>
      <c r="T35" s="1101"/>
      <c r="U35" s="1101"/>
      <c r="V35" s="1101"/>
      <c r="W35" s="1101"/>
      <c r="X35" s="1101"/>
      <c r="Y35" s="1008">
        <f t="shared" ref="Y35:Y66" si="33">SUM(Z35:AS35)</f>
        <v>623820881</v>
      </c>
      <c r="Z35" s="991"/>
      <c r="AA35" s="1017">
        <f>100000000+180000000-280000000</f>
        <v>0</v>
      </c>
      <c r="AB35" s="1017">
        <v>280000000</v>
      </c>
      <c r="AC35" s="1008">
        <f>300000000+220000000-216179119</f>
        <v>303820881</v>
      </c>
      <c r="AD35" s="991"/>
      <c r="AE35" s="1008">
        <f>20000000+20000000</f>
        <v>40000000</v>
      </c>
      <c r="AF35" s="1017">
        <f>400000000-180000000-220000000</f>
        <v>0</v>
      </c>
      <c r="AG35" s="991"/>
      <c r="AH35" s="991"/>
      <c r="AI35" s="991"/>
      <c r="AJ35" s="991"/>
      <c r="AK35" s="875"/>
      <c r="AL35" s="991"/>
      <c r="AM35" s="991"/>
      <c r="AN35" s="991"/>
      <c r="AO35" s="991"/>
      <c r="AP35" s="991"/>
      <c r="AQ35" s="991"/>
      <c r="AR35" s="991"/>
      <c r="AS35" s="991"/>
      <c r="AU35" s="1011">
        <f t="shared" si="3"/>
        <v>0.9857387909398948</v>
      </c>
      <c r="AV35" s="1008">
        <f t="shared" ref="AV35:AV66" si="34">SUM(AW35:BP35)</f>
        <v>614924441</v>
      </c>
      <c r="AW35" s="1008"/>
      <c r="AX35" s="1008"/>
      <c r="AY35" s="1008">
        <v>280000000</v>
      </c>
      <c r="AZ35" s="1008">
        <f>+'[14]JUNIO 2015'!$M$866</f>
        <v>303820881</v>
      </c>
      <c r="BA35" s="1008"/>
      <c r="BB35" s="1008">
        <f>+'[18]OCTUBRE 2015'!$O$1497</f>
        <v>31103560</v>
      </c>
      <c r="BC35" s="1008"/>
      <c r="BD35" s="1008"/>
      <c r="BE35" s="1008"/>
      <c r="BF35" s="1008"/>
      <c r="BG35" s="1008"/>
      <c r="BH35" s="1008"/>
      <c r="BI35" s="1008"/>
      <c r="BJ35" s="1008"/>
      <c r="BK35" s="1008"/>
      <c r="BL35" s="1008"/>
      <c r="BM35" s="1008"/>
      <c r="BN35" s="1008"/>
      <c r="BO35" s="1008"/>
      <c r="BP35" s="1008"/>
      <c r="BQ35" s="1011">
        <f t="shared" si="25"/>
        <v>1.4261209060105196E-2</v>
      </c>
      <c r="BR35" s="1008">
        <f t="shared" ref="BR35:BR66" si="35">SUM(BS35:CL35)</f>
        <v>8896440</v>
      </c>
      <c r="BS35" s="1008">
        <f t="shared" ref="BS35:BS58" si="36">+Z35-AW35</f>
        <v>0</v>
      </c>
      <c r="BT35" s="1008">
        <f t="shared" ref="BT35:BV50" si="37">AA35-AX35</f>
        <v>0</v>
      </c>
      <c r="BU35" s="1008">
        <f t="shared" si="37"/>
        <v>0</v>
      </c>
      <c r="BV35" s="1008">
        <f t="shared" si="37"/>
        <v>0</v>
      </c>
      <c r="BW35" s="1008"/>
      <c r="BX35" s="1008">
        <f t="shared" ref="BX35:BY58" si="38">+AE35-BB35</f>
        <v>8896440</v>
      </c>
      <c r="BY35" s="1008">
        <f t="shared" si="38"/>
        <v>0</v>
      </c>
      <c r="BZ35" s="1008"/>
      <c r="CA35" s="1008"/>
      <c r="CB35" s="1008">
        <f t="shared" ref="CB35:CB42" si="39">+AI35-BF35</f>
        <v>0</v>
      </c>
      <c r="CC35" s="1008"/>
      <c r="CD35" s="1008">
        <f t="shared" ref="CD35:CI54" si="40">+AK35-BH35</f>
        <v>0</v>
      </c>
      <c r="CE35" s="1008">
        <f t="shared" si="40"/>
        <v>0</v>
      </c>
      <c r="CF35" s="1008">
        <f t="shared" si="40"/>
        <v>0</v>
      </c>
      <c r="CG35" s="1008">
        <f t="shared" si="40"/>
        <v>0</v>
      </c>
      <c r="CH35" s="1008">
        <f t="shared" si="40"/>
        <v>0</v>
      </c>
      <c r="CI35" s="1008">
        <f t="shared" si="40"/>
        <v>0</v>
      </c>
      <c r="CJ35" s="1008"/>
      <c r="CK35" s="1008"/>
      <c r="CL35" s="1008">
        <f t="shared" ref="CL35:CL66" si="41">+AS35-BP35</f>
        <v>0</v>
      </c>
      <c r="CM35" s="1011">
        <f t="shared" si="13"/>
        <v>0.9857387909398948</v>
      </c>
      <c r="CN35" s="1008">
        <f t="shared" ref="CN35:CN66" si="42">SUM(CO35:DH35)</f>
        <v>614924441</v>
      </c>
      <c r="CO35" s="1008"/>
      <c r="CP35" s="1008"/>
      <c r="CQ35" s="1008">
        <f>+'[12]MAYO 2015'!$H$730+'[12]MAYO 2015'!$H$740</f>
        <v>280000000</v>
      </c>
      <c r="CR35" s="1008">
        <f>+'[14]JUNIO 2015'!$H$871+'[14]JUNIO 2015'!$H$882</f>
        <v>303820881</v>
      </c>
      <c r="CS35" s="1008"/>
      <c r="CT35" s="1008">
        <f>+'[18]OCTUBRE 2015'!$O$1497</f>
        <v>31103560</v>
      </c>
      <c r="CU35" s="1008"/>
      <c r="CV35" s="1008"/>
      <c r="CW35" s="1008"/>
      <c r="CX35" s="1008"/>
      <c r="CY35" s="1008"/>
      <c r="CZ35" s="1008"/>
      <c r="DA35" s="1008"/>
      <c r="DB35" s="1008"/>
      <c r="DC35" s="1008"/>
      <c r="DD35" s="1008"/>
      <c r="DE35" s="1008"/>
      <c r="DF35" s="1008"/>
      <c r="DG35" s="1008"/>
      <c r="DH35" s="1008"/>
      <c r="DI35" s="1011">
        <f t="shared" si="15"/>
        <v>1.4261209060105196E-2</v>
      </c>
      <c r="DJ35" s="1008">
        <f t="shared" ref="DJ35:DJ66" si="43">SUM(DK35:ED35)</f>
        <v>8896440</v>
      </c>
      <c r="DK35" s="1008"/>
      <c r="DL35" s="1008">
        <f t="shared" ref="DL35:DN37" si="44">AA35-CP35</f>
        <v>0</v>
      </c>
      <c r="DM35" s="1008">
        <f t="shared" si="44"/>
        <v>0</v>
      </c>
      <c r="DN35" s="1008">
        <f t="shared" si="44"/>
        <v>0</v>
      </c>
      <c r="DO35" s="1008"/>
      <c r="DP35" s="1008">
        <f t="shared" ref="DP35:DQ58" si="45">AE35-CT35</f>
        <v>8896440</v>
      </c>
      <c r="DQ35" s="1008">
        <f t="shared" si="45"/>
        <v>0</v>
      </c>
      <c r="DR35" s="1008"/>
      <c r="DS35" s="1008">
        <f t="shared" ref="DS35:DT58" si="46">+AH35-CW35</f>
        <v>0</v>
      </c>
      <c r="DT35" s="1008">
        <f t="shared" si="46"/>
        <v>0</v>
      </c>
      <c r="DU35" s="1008"/>
      <c r="DV35" s="1008">
        <f t="shared" ref="DV35:DX58" si="47">AK35-CZ35</f>
        <v>0</v>
      </c>
      <c r="DW35" s="1008">
        <f t="shared" si="47"/>
        <v>0</v>
      </c>
      <c r="DX35" s="1008">
        <f t="shared" si="47"/>
        <v>0</v>
      </c>
      <c r="DY35" s="1008">
        <f t="shared" ref="DY35:EB58" si="48">+AN35-DC35</f>
        <v>0</v>
      </c>
      <c r="DZ35" s="1008">
        <f t="shared" si="48"/>
        <v>0</v>
      </c>
      <c r="EA35" s="1008">
        <f t="shared" si="48"/>
        <v>0</v>
      </c>
      <c r="EB35" s="1008">
        <f t="shared" si="48"/>
        <v>0</v>
      </c>
      <c r="EC35" s="1008"/>
      <c r="ED35" s="1008">
        <f t="shared" ref="ED35:ED66" si="49">+AS35-DH35</f>
        <v>0</v>
      </c>
    </row>
    <row r="36" spans="1:134" ht="48" customHeight="1" x14ac:dyDescent="0.25">
      <c r="A36" s="1562"/>
      <c r="B36" s="1019"/>
      <c r="C36" s="1094" t="s">
        <v>4368</v>
      </c>
      <c r="D36" s="1019" t="s">
        <v>4602</v>
      </c>
      <c r="E36" s="1020">
        <v>410</v>
      </c>
      <c r="F36" s="1097" t="s">
        <v>3350</v>
      </c>
      <c r="G36" s="1400"/>
      <c r="H36" s="1061">
        <f t="shared" si="31"/>
        <v>7649518</v>
      </c>
      <c r="I36" s="1061">
        <f t="shared" si="32"/>
        <v>0</v>
      </c>
      <c r="J36" s="1097" t="s">
        <v>4782</v>
      </c>
      <c r="K36" s="1093" t="s">
        <v>4783</v>
      </c>
      <c r="L36" s="1093" t="s">
        <v>4784</v>
      </c>
      <c r="M36" s="1093">
        <v>0</v>
      </c>
      <c r="N36" s="1093">
        <v>0</v>
      </c>
      <c r="O36" s="1093">
        <v>0</v>
      </c>
      <c r="P36" s="1093">
        <v>100</v>
      </c>
      <c r="Q36" s="1093">
        <v>33</v>
      </c>
      <c r="R36" s="1093">
        <v>33</v>
      </c>
      <c r="S36" s="1097"/>
      <c r="T36" s="1097"/>
      <c r="U36" s="1097"/>
      <c r="V36" s="1097"/>
      <c r="W36" s="1097"/>
      <c r="X36" s="1097"/>
      <c r="Y36" s="1008">
        <f t="shared" si="33"/>
        <v>7649518</v>
      </c>
      <c r="Z36" s="1008"/>
      <c r="AA36" s="1008">
        <f>100000000-92350482</f>
        <v>7649518</v>
      </c>
      <c r="AB36" s="1008"/>
      <c r="AC36" s="1008"/>
      <c r="AD36" s="1008"/>
      <c r="AE36" s="1008"/>
      <c r="AF36" s="1008"/>
      <c r="AG36" s="1008"/>
      <c r="AH36" s="1008"/>
      <c r="AI36" s="1008"/>
      <c r="AJ36" s="1008"/>
      <c r="AK36" s="1008"/>
      <c r="AL36" s="1008"/>
      <c r="AM36" s="1008"/>
      <c r="AN36" s="1008"/>
      <c r="AO36" s="1008"/>
      <c r="AP36" s="1008"/>
      <c r="AQ36" s="1008"/>
      <c r="AR36" s="1008"/>
      <c r="AS36" s="1008"/>
      <c r="AU36" s="1011">
        <f t="shared" si="3"/>
        <v>1</v>
      </c>
      <c r="AV36" s="1008">
        <f t="shared" si="34"/>
        <v>7649518</v>
      </c>
      <c r="AW36" s="1008"/>
      <c r="AX36" s="1008">
        <v>7649518</v>
      </c>
      <c r="AY36" s="1008"/>
      <c r="AZ36" s="1008"/>
      <c r="BA36" s="1008"/>
      <c r="BB36" s="1008"/>
      <c r="BC36" s="1008"/>
      <c r="BD36" s="1008"/>
      <c r="BE36" s="1008"/>
      <c r="BF36" s="1008"/>
      <c r="BG36" s="1008"/>
      <c r="BH36" s="1008"/>
      <c r="BI36" s="1008"/>
      <c r="BJ36" s="1008"/>
      <c r="BK36" s="1008"/>
      <c r="BL36" s="1008"/>
      <c r="BM36" s="1008"/>
      <c r="BN36" s="1008"/>
      <c r="BO36" s="1008"/>
      <c r="BP36" s="1008"/>
      <c r="BQ36" s="1011">
        <f t="shared" si="25"/>
        <v>0</v>
      </c>
      <c r="BR36" s="1008">
        <f t="shared" si="35"/>
        <v>0</v>
      </c>
      <c r="BS36" s="1008">
        <f t="shared" si="36"/>
        <v>0</v>
      </c>
      <c r="BT36" s="1008">
        <f t="shared" si="37"/>
        <v>0</v>
      </c>
      <c r="BU36" s="1008">
        <f t="shared" si="37"/>
        <v>0</v>
      </c>
      <c r="BV36" s="1008">
        <f t="shared" si="37"/>
        <v>0</v>
      </c>
      <c r="BW36" s="1008"/>
      <c r="BX36" s="1008">
        <f t="shared" si="38"/>
        <v>0</v>
      </c>
      <c r="BY36" s="1008">
        <f t="shared" si="38"/>
        <v>0</v>
      </c>
      <c r="BZ36" s="1008"/>
      <c r="CA36" s="1008"/>
      <c r="CB36" s="1008">
        <f t="shared" si="39"/>
        <v>0</v>
      </c>
      <c r="CC36" s="1008"/>
      <c r="CD36" s="1008">
        <f t="shared" si="40"/>
        <v>0</v>
      </c>
      <c r="CE36" s="1008">
        <f t="shared" si="40"/>
        <v>0</v>
      </c>
      <c r="CF36" s="1008">
        <f t="shared" si="40"/>
        <v>0</v>
      </c>
      <c r="CG36" s="1008">
        <f t="shared" si="40"/>
        <v>0</v>
      </c>
      <c r="CH36" s="1008">
        <f t="shared" si="40"/>
        <v>0</v>
      </c>
      <c r="CI36" s="1008">
        <f t="shared" si="40"/>
        <v>0</v>
      </c>
      <c r="CJ36" s="1008"/>
      <c r="CK36" s="1008"/>
      <c r="CL36" s="1008">
        <f t="shared" si="41"/>
        <v>0</v>
      </c>
      <c r="CM36" s="1011">
        <f t="shared" si="13"/>
        <v>1</v>
      </c>
      <c r="CN36" s="1008">
        <f t="shared" si="42"/>
        <v>7649518</v>
      </c>
      <c r="CO36" s="1008"/>
      <c r="CP36" s="1008">
        <f>+'[14]JUNIO 2015'!$K$891</f>
        <v>7649518</v>
      </c>
      <c r="CQ36" s="1008"/>
      <c r="CR36" s="1008"/>
      <c r="CS36" s="1008"/>
      <c r="CT36" s="1008"/>
      <c r="CU36" s="1008"/>
      <c r="CV36" s="1008"/>
      <c r="CW36" s="1008"/>
      <c r="CX36" s="1008"/>
      <c r="CY36" s="1008"/>
      <c r="CZ36" s="1008"/>
      <c r="DA36" s="1008"/>
      <c r="DB36" s="1008"/>
      <c r="DC36" s="1008"/>
      <c r="DD36" s="1008"/>
      <c r="DE36" s="1008"/>
      <c r="DF36" s="1008"/>
      <c r="DG36" s="1008"/>
      <c r="DH36" s="1008"/>
      <c r="DI36" s="1011">
        <f t="shared" si="15"/>
        <v>0</v>
      </c>
      <c r="DJ36" s="1008">
        <f t="shared" si="43"/>
        <v>0</v>
      </c>
      <c r="DK36" s="1008"/>
      <c r="DL36" s="1008">
        <f t="shared" si="44"/>
        <v>0</v>
      </c>
      <c r="DM36" s="1008">
        <f t="shared" si="44"/>
        <v>0</v>
      </c>
      <c r="DN36" s="1008">
        <f t="shared" si="44"/>
        <v>0</v>
      </c>
      <c r="DO36" s="1008"/>
      <c r="DP36" s="1008">
        <f t="shared" si="45"/>
        <v>0</v>
      </c>
      <c r="DQ36" s="1008">
        <f t="shared" si="45"/>
        <v>0</v>
      </c>
      <c r="DR36" s="1008"/>
      <c r="DS36" s="1008">
        <f t="shared" si="46"/>
        <v>0</v>
      </c>
      <c r="DT36" s="1008">
        <f t="shared" si="46"/>
        <v>0</v>
      </c>
      <c r="DU36" s="1008"/>
      <c r="DV36" s="1008">
        <f t="shared" si="47"/>
        <v>0</v>
      </c>
      <c r="DW36" s="1008">
        <f t="shared" si="47"/>
        <v>0</v>
      </c>
      <c r="DX36" s="1008">
        <f t="shared" si="47"/>
        <v>0</v>
      </c>
      <c r="DY36" s="1008">
        <f t="shared" si="48"/>
        <v>0</v>
      </c>
      <c r="DZ36" s="1008">
        <f t="shared" si="48"/>
        <v>0</v>
      </c>
      <c r="EA36" s="1008">
        <f t="shared" si="48"/>
        <v>0</v>
      </c>
      <c r="EB36" s="1008">
        <f t="shared" si="48"/>
        <v>0</v>
      </c>
      <c r="EC36" s="1008"/>
      <c r="ED36" s="1008">
        <f t="shared" si="49"/>
        <v>0</v>
      </c>
    </row>
    <row r="37" spans="1:134" ht="63.75" customHeight="1" x14ac:dyDescent="0.25">
      <c r="A37" s="1562"/>
      <c r="B37" s="1019"/>
      <c r="C37" s="1094" t="s">
        <v>4375</v>
      </c>
      <c r="D37" s="1019" t="s">
        <v>4318</v>
      </c>
      <c r="E37" s="1020">
        <v>410</v>
      </c>
      <c r="F37" s="1097" t="s">
        <v>3350</v>
      </c>
      <c r="G37" s="1401"/>
      <c r="H37" s="1061">
        <f t="shared" si="31"/>
        <v>161758923</v>
      </c>
      <c r="I37" s="1061">
        <f t="shared" si="32"/>
        <v>12608900</v>
      </c>
      <c r="J37" s="1097" t="s">
        <v>4785</v>
      </c>
      <c r="K37" s="1093" t="s">
        <v>4786</v>
      </c>
      <c r="L37" s="1093" t="s">
        <v>4787</v>
      </c>
      <c r="M37" s="1093">
        <v>56</v>
      </c>
      <c r="N37" s="1093">
        <v>100</v>
      </c>
      <c r="O37" s="1093">
        <v>56</v>
      </c>
      <c r="P37" s="1093">
        <v>49</v>
      </c>
      <c r="Q37" s="1093">
        <v>400</v>
      </c>
      <c r="R37" s="1093">
        <v>196</v>
      </c>
      <c r="S37" s="1097"/>
      <c r="T37" s="1097"/>
      <c r="U37" s="1097"/>
      <c r="V37" s="1097"/>
      <c r="W37" s="1097"/>
      <c r="X37" s="1097"/>
      <c r="Y37" s="1008">
        <f t="shared" si="33"/>
        <v>174367823</v>
      </c>
      <c r="Z37" s="1008"/>
      <c r="AA37" s="1008">
        <f>100000000-38824072</f>
        <v>61175928</v>
      </c>
      <c r="AB37" s="1008"/>
      <c r="AC37" s="1008"/>
      <c r="AD37" s="1008"/>
      <c r="AE37" s="1008">
        <v>50000000</v>
      </c>
      <c r="AF37" s="1008"/>
      <c r="AG37" s="1008"/>
      <c r="AH37" s="1008"/>
      <c r="AI37" s="1008"/>
      <c r="AJ37" s="1008"/>
      <c r="AK37" s="1008"/>
      <c r="AL37" s="1008"/>
      <c r="AM37" s="1008"/>
      <c r="AN37" s="1008"/>
      <c r="AO37" s="1008">
        <f>13191895+50000000</f>
        <v>63191895</v>
      </c>
      <c r="AP37" s="1008"/>
      <c r="AQ37" s="1008"/>
      <c r="AR37" s="1008"/>
      <c r="AS37" s="1008"/>
      <c r="AU37" s="1011">
        <f t="shared" si="3"/>
        <v>1</v>
      </c>
      <c r="AV37" s="1008">
        <f t="shared" si="34"/>
        <v>174367823</v>
      </c>
      <c r="AW37" s="1008"/>
      <c r="AX37" s="1008">
        <f>+'[14]JUNIO 2015'!$K$897</f>
        <v>61175928</v>
      </c>
      <c r="AY37" s="1008"/>
      <c r="AZ37" s="1008"/>
      <c r="BA37" s="1008"/>
      <c r="BB37" s="1008">
        <f>+'[14]JUNIO 2015'!$O$897</f>
        <v>50000000</v>
      </c>
      <c r="BC37" s="1008"/>
      <c r="BD37" s="1008"/>
      <c r="BE37" s="1008"/>
      <c r="BF37" s="1008"/>
      <c r="BG37" s="1008"/>
      <c r="BH37" s="1008"/>
      <c r="BI37" s="1008"/>
      <c r="BJ37" s="1008"/>
      <c r="BK37" s="1008"/>
      <c r="BL37" s="1008">
        <f>+'[17]SEPTIEMBRE 2015'!$Y$1352</f>
        <v>63191895</v>
      </c>
      <c r="BM37" s="1008"/>
      <c r="BN37" s="1008"/>
      <c r="BO37" s="1008"/>
      <c r="BP37" s="1008"/>
      <c r="BQ37" s="1011">
        <f t="shared" si="25"/>
        <v>0</v>
      </c>
      <c r="BR37" s="1008">
        <f t="shared" si="35"/>
        <v>0</v>
      </c>
      <c r="BS37" s="1008">
        <f t="shared" si="36"/>
        <v>0</v>
      </c>
      <c r="BT37" s="1008">
        <f t="shared" si="37"/>
        <v>0</v>
      </c>
      <c r="BU37" s="1008">
        <f t="shared" si="37"/>
        <v>0</v>
      </c>
      <c r="BV37" s="1008">
        <f t="shared" si="37"/>
        <v>0</v>
      </c>
      <c r="BW37" s="1008"/>
      <c r="BX37" s="1008">
        <f t="shared" si="38"/>
        <v>0</v>
      </c>
      <c r="BY37" s="1008">
        <f t="shared" si="38"/>
        <v>0</v>
      </c>
      <c r="BZ37" s="1008"/>
      <c r="CA37" s="1008"/>
      <c r="CB37" s="1008">
        <f t="shared" si="39"/>
        <v>0</v>
      </c>
      <c r="CC37" s="1008"/>
      <c r="CD37" s="1008">
        <f t="shared" si="40"/>
        <v>0</v>
      </c>
      <c r="CE37" s="1008">
        <f t="shared" si="40"/>
        <v>0</v>
      </c>
      <c r="CF37" s="1008">
        <f t="shared" si="40"/>
        <v>0</v>
      </c>
      <c r="CG37" s="1008">
        <f t="shared" si="40"/>
        <v>0</v>
      </c>
      <c r="CH37" s="1008">
        <f t="shared" si="40"/>
        <v>0</v>
      </c>
      <c r="CI37" s="1008">
        <f t="shared" si="40"/>
        <v>0</v>
      </c>
      <c r="CJ37" s="1008"/>
      <c r="CK37" s="1008"/>
      <c r="CL37" s="1008">
        <f t="shared" si="41"/>
        <v>0</v>
      </c>
      <c r="CM37" s="1011">
        <f t="shared" si="13"/>
        <v>0.92768791980616749</v>
      </c>
      <c r="CN37" s="1008">
        <f t="shared" si="42"/>
        <v>161758923</v>
      </c>
      <c r="CO37" s="1008"/>
      <c r="CP37" s="1008">
        <f>+'[14]JUNIO 2015'!$H$898</f>
        <v>61175928</v>
      </c>
      <c r="CQ37" s="1008"/>
      <c r="CR37" s="1008"/>
      <c r="CS37" s="1008"/>
      <c r="CT37" s="1008">
        <f>+'[17]SEPTIEMBRE 2015'!$H$1368</f>
        <v>50000000</v>
      </c>
      <c r="CU37" s="1008"/>
      <c r="CV37" s="1008"/>
      <c r="CW37" s="1008"/>
      <c r="CX37" s="1008"/>
      <c r="CY37" s="1008"/>
      <c r="CZ37" s="1008"/>
      <c r="DA37" s="1008"/>
      <c r="DB37" s="1008"/>
      <c r="DC37" s="1008"/>
      <c r="DD37" s="1008">
        <f>+'[18]OCTUBRE 2015'!$H$1559+'[18]OCTUBRE 2015'!$H$1562</f>
        <v>50582995</v>
      </c>
      <c r="DE37" s="1008"/>
      <c r="DF37" s="1008"/>
      <c r="DG37" s="1008"/>
      <c r="DH37" s="1008"/>
      <c r="DI37" s="1011">
        <f t="shared" si="15"/>
        <v>7.2312080193832506E-2</v>
      </c>
      <c r="DJ37" s="1008">
        <f t="shared" si="43"/>
        <v>12608900</v>
      </c>
      <c r="DK37" s="1008"/>
      <c r="DL37" s="1008">
        <f t="shared" si="44"/>
        <v>0</v>
      </c>
      <c r="DM37" s="1008">
        <f t="shared" si="44"/>
        <v>0</v>
      </c>
      <c r="DN37" s="1008">
        <f t="shared" si="44"/>
        <v>0</v>
      </c>
      <c r="DO37" s="1008"/>
      <c r="DP37" s="1008">
        <f t="shared" si="45"/>
        <v>0</v>
      </c>
      <c r="DQ37" s="1008">
        <f t="shared" si="45"/>
        <v>0</v>
      </c>
      <c r="DR37" s="1008"/>
      <c r="DS37" s="1008">
        <f t="shared" si="46"/>
        <v>0</v>
      </c>
      <c r="DT37" s="1008">
        <f t="shared" si="46"/>
        <v>0</v>
      </c>
      <c r="DU37" s="1008"/>
      <c r="DV37" s="1008">
        <f t="shared" si="47"/>
        <v>0</v>
      </c>
      <c r="DW37" s="1008">
        <f t="shared" si="47"/>
        <v>0</v>
      </c>
      <c r="DX37" s="1008">
        <f t="shared" si="47"/>
        <v>0</v>
      </c>
      <c r="DY37" s="1008">
        <f t="shared" si="48"/>
        <v>0</v>
      </c>
      <c r="DZ37" s="1008">
        <f t="shared" si="48"/>
        <v>12608900</v>
      </c>
      <c r="EA37" s="1008">
        <f t="shared" si="48"/>
        <v>0</v>
      </c>
      <c r="EB37" s="1008">
        <f t="shared" si="48"/>
        <v>0</v>
      </c>
      <c r="EC37" s="1008"/>
      <c r="ED37" s="1008">
        <f t="shared" si="49"/>
        <v>0</v>
      </c>
    </row>
    <row r="38" spans="1:134" ht="36.75" customHeight="1" x14ac:dyDescent="0.25">
      <c r="A38" s="1562"/>
      <c r="B38" s="1019" t="s">
        <v>4308</v>
      </c>
      <c r="C38" s="1114" t="s">
        <v>4369</v>
      </c>
      <c r="D38" s="1019" t="s">
        <v>4724</v>
      </c>
      <c r="E38" s="1020">
        <v>410</v>
      </c>
      <c r="F38" s="1097" t="s">
        <v>3350</v>
      </c>
      <c r="G38" s="1399">
        <v>170000000</v>
      </c>
      <c r="H38" s="1061">
        <f t="shared" si="31"/>
        <v>0</v>
      </c>
      <c r="I38" s="1061">
        <f t="shared" si="32"/>
        <v>0</v>
      </c>
      <c r="J38" s="1097" t="s">
        <v>4788</v>
      </c>
      <c r="K38" s="1093" t="s">
        <v>4789</v>
      </c>
      <c r="L38" s="1093" t="s">
        <v>4790</v>
      </c>
      <c r="M38" s="1093">
        <v>0</v>
      </c>
      <c r="N38" s="1093">
        <v>0</v>
      </c>
      <c r="O38" s="1093">
        <v>0</v>
      </c>
      <c r="P38" s="1093">
        <v>0</v>
      </c>
      <c r="Q38" s="1093">
        <v>0</v>
      </c>
      <c r="R38" s="1093">
        <v>0</v>
      </c>
      <c r="S38" s="1097"/>
      <c r="T38" s="1097"/>
      <c r="U38" s="1097"/>
      <c r="V38" s="1097"/>
      <c r="W38" s="1097"/>
      <c r="X38" s="1097"/>
      <c r="Y38" s="1008">
        <f t="shared" si="33"/>
        <v>0</v>
      </c>
      <c r="Z38" s="1008"/>
      <c r="AA38" s="1008"/>
      <c r="AB38" s="1008"/>
      <c r="AC38" s="1008"/>
      <c r="AD38" s="1008"/>
      <c r="AE38" s="1008">
        <f>10000000-10000000</f>
        <v>0</v>
      </c>
      <c r="AF38" s="1008"/>
      <c r="AG38" s="1008"/>
      <c r="AH38" s="1008"/>
      <c r="AI38" s="1008"/>
      <c r="AJ38" s="1008"/>
      <c r="AK38" s="1008"/>
      <c r="AL38" s="1008"/>
      <c r="AM38" s="1008"/>
      <c r="AN38" s="1008"/>
      <c r="AO38" s="1008"/>
      <c r="AP38" s="1008"/>
      <c r="AQ38" s="1008"/>
      <c r="AR38" s="1008"/>
      <c r="AS38" s="1008"/>
      <c r="AU38" s="1011" t="e">
        <f t="shared" si="3"/>
        <v>#DIV/0!</v>
      </c>
      <c r="AV38" s="1008">
        <f t="shared" si="34"/>
        <v>0</v>
      </c>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11" t="e">
        <f t="shared" si="25"/>
        <v>#DIV/0!</v>
      </c>
      <c r="BR38" s="1008">
        <f t="shared" si="35"/>
        <v>0</v>
      </c>
      <c r="BS38" s="1008">
        <f t="shared" si="36"/>
        <v>0</v>
      </c>
      <c r="BT38" s="1008"/>
      <c r="BU38" s="1008">
        <f t="shared" si="37"/>
        <v>0</v>
      </c>
      <c r="BV38" s="1008">
        <f t="shared" si="37"/>
        <v>0</v>
      </c>
      <c r="BW38" s="1008"/>
      <c r="BX38" s="1008">
        <f t="shared" si="38"/>
        <v>0</v>
      </c>
      <c r="BY38" s="1008">
        <f t="shared" si="38"/>
        <v>0</v>
      </c>
      <c r="BZ38" s="1008"/>
      <c r="CA38" s="1008">
        <f>+AH38-BE38</f>
        <v>0</v>
      </c>
      <c r="CB38" s="1008">
        <f t="shared" si="39"/>
        <v>0</v>
      </c>
      <c r="CC38" s="1008">
        <f>+AJ38-BG38</f>
        <v>0</v>
      </c>
      <c r="CD38" s="1008">
        <f t="shared" si="40"/>
        <v>0</v>
      </c>
      <c r="CE38" s="1008">
        <f t="shared" si="40"/>
        <v>0</v>
      </c>
      <c r="CF38" s="1008">
        <f t="shared" si="40"/>
        <v>0</v>
      </c>
      <c r="CG38" s="1008">
        <f t="shared" si="40"/>
        <v>0</v>
      </c>
      <c r="CH38" s="1008">
        <f t="shared" si="40"/>
        <v>0</v>
      </c>
      <c r="CI38" s="1008">
        <f t="shared" si="40"/>
        <v>0</v>
      </c>
      <c r="CJ38" s="1008"/>
      <c r="CK38" s="1008"/>
      <c r="CL38" s="1008">
        <f t="shared" si="41"/>
        <v>0</v>
      </c>
      <c r="CM38" s="1011" t="e">
        <f t="shared" si="13"/>
        <v>#DIV/0!</v>
      </c>
      <c r="CN38" s="1008">
        <f t="shared" si="42"/>
        <v>0</v>
      </c>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11" t="e">
        <f t="shared" si="15"/>
        <v>#DIV/0!</v>
      </c>
      <c r="DJ38" s="1008">
        <f t="shared" si="43"/>
        <v>0</v>
      </c>
      <c r="DK38" s="1008"/>
      <c r="DL38" s="1008"/>
      <c r="DM38" s="1008"/>
      <c r="DN38" s="1008"/>
      <c r="DO38" s="1008"/>
      <c r="DP38" s="1008">
        <f t="shared" si="45"/>
        <v>0</v>
      </c>
      <c r="DQ38" s="1008">
        <f t="shared" si="45"/>
        <v>0</v>
      </c>
      <c r="DR38" s="1008"/>
      <c r="DS38" s="1008">
        <f t="shared" si="46"/>
        <v>0</v>
      </c>
      <c r="DT38" s="1008">
        <f t="shared" si="46"/>
        <v>0</v>
      </c>
      <c r="DU38" s="1008"/>
      <c r="DV38" s="1008">
        <f t="shared" si="47"/>
        <v>0</v>
      </c>
      <c r="DW38" s="1008">
        <f t="shared" si="47"/>
        <v>0</v>
      </c>
      <c r="DX38" s="1008">
        <f t="shared" si="47"/>
        <v>0</v>
      </c>
      <c r="DY38" s="1008">
        <f t="shared" si="48"/>
        <v>0</v>
      </c>
      <c r="DZ38" s="1008">
        <f t="shared" si="48"/>
        <v>0</v>
      </c>
      <c r="EA38" s="1008">
        <f t="shared" si="48"/>
        <v>0</v>
      </c>
      <c r="EB38" s="1008">
        <f t="shared" si="48"/>
        <v>0</v>
      </c>
      <c r="EC38" s="1008"/>
      <c r="ED38" s="1008">
        <f t="shared" si="49"/>
        <v>0</v>
      </c>
    </row>
    <row r="39" spans="1:134" ht="37.5" customHeight="1" x14ac:dyDescent="0.25">
      <c r="A39" s="1562"/>
      <c r="B39" s="1019"/>
      <c r="C39" s="1094" t="s">
        <v>4370</v>
      </c>
      <c r="D39" s="1019" t="s">
        <v>4603</v>
      </c>
      <c r="E39" s="1020">
        <v>410</v>
      </c>
      <c r="F39" s="1097" t="s">
        <v>3350</v>
      </c>
      <c r="G39" s="1400"/>
      <c r="H39" s="1061">
        <f t="shared" si="31"/>
        <v>119444732</v>
      </c>
      <c r="I39" s="1061">
        <f t="shared" si="32"/>
        <v>61399353</v>
      </c>
      <c r="J39" s="1097" t="s">
        <v>4776</v>
      </c>
      <c r="K39" s="1093" t="s">
        <v>4791</v>
      </c>
      <c r="L39" s="1093" t="s">
        <v>4792</v>
      </c>
      <c r="M39" s="1093">
        <v>10</v>
      </c>
      <c r="N39" s="1093">
        <v>0</v>
      </c>
      <c r="O39" s="1093">
        <v>0</v>
      </c>
      <c r="P39" s="1093">
        <v>26</v>
      </c>
      <c r="Q39" s="1093">
        <v>200</v>
      </c>
      <c r="R39" s="1093">
        <v>26</v>
      </c>
      <c r="S39" s="1097"/>
      <c r="T39" s="1097"/>
      <c r="U39" s="1097"/>
      <c r="V39" s="1097"/>
      <c r="W39" s="1097"/>
      <c r="X39" s="1097"/>
      <c r="Y39" s="1008">
        <f t="shared" si="33"/>
        <v>180844085</v>
      </c>
      <c r="Z39" s="1008"/>
      <c r="AA39" s="1008"/>
      <c r="AB39" s="1008"/>
      <c r="AC39" s="1008"/>
      <c r="AD39" s="1008"/>
      <c r="AE39" s="1008">
        <v>20000000</v>
      </c>
      <c r="AF39" s="1008"/>
      <c r="AG39" s="1008"/>
      <c r="AH39" s="1008"/>
      <c r="AI39" s="1008"/>
      <c r="AJ39" s="1008"/>
      <c r="AK39" s="1008"/>
      <c r="AL39" s="1008"/>
      <c r="AM39" s="1008"/>
      <c r="AN39" s="1008">
        <f>100000000-20000000</f>
        <v>80000000</v>
      </c>
      <c r="AO39" s="1008"/>
      <c r="AP39" s="1008"/>
      <c r="AQ39" s="1008">
        <v>80844085</v>
      </c>
      <c r="AR39" s="1008"/>
      <c r="AS39" s="1008"/>
      <c r="AU39" s="1011">
        <f t="shared" si="3"/>
        <v>1</v>
      </c>
      <c r="AV39" s="1008">
        <f t="shared" si="34"/>
        <v>180844085</v>
      </c>
      <c r="AW39" s="1008"/>
      <c r="AX39" s="1008"/>
      <c r="AY39" s="1008"/>
      <c r="AZ39" s="1008"/>
      <c r="BA39" s="1008"/>
      <c r="BB39" s="1008">
        <f>+'[9]FEBRERO 2015'!$N$495</f>
        <v>20000000</v>
      </c>
      <c r="BC39" s="1008"/>
      <c r="BD39" s="1008"/>
      <c r="BE39" s="1008"/>
      <c r="BF39" s="1008"/>
      <c r="BG39" s="1008"/>
      <c r="BH39" s="1008"/>
      <c r="BI39" s="1008"/>
      <c r="BJ39" s="1008"/>
      <c r="BK39" s="1008">
        <f>+'[18]OCTUBRE 2015'!$X$1580</f>
        <v>80000000</v>
      </c>
      <c r="BL39" s="1008"/>
      <c r="BM39" s="1008"/>
      <c r="BN39" s="1008">
        <f>+'[10]MARZO 2015'!$Z$635</f>
        <v>80844085</v>
      </c>
      <c r="BO39" s="1008"/>
      <c r="BP39" s="1008"/>
      <c r="BQ39" s="1011">
        <f t="shared" si="25"/>
        <v>0</v>
      </c>
      <c r="BR39" s="1008">
        <f t="shared" si="35"/>
        <v>0</v>
      </c>
      <c r="BS39" s="1008">
        <f t="shared" si="36"/>
        <v>0</v>
      </c>
      <c r="BT39" s="1008"/>
      <c r="BU39" s="1008">
        <f t="shared" si="37"/>
        <v>0</v>
      </c>
      <c r="BV39" s="1008">
        <f t="shared" si="37"/>
        <v>0</v>
      </c>
      <c r="BW39" s="1008"/>
      <c r="BX39" s="1008">
        <f t="shared" si="38"/>
        <v>0</v>
      </c>
      <c r="BY39" s="1008">
        <f t="shared" si="38"/>
        <v>0</v>
      </c>
      <c r="BZ39" s="1008"/>
      <c r="CA39" s="1008">
        <f>+AH39-BE39</f>
        <v>0</v>
      </c>
      <c r="CB39" s="1008">
        <f t="shared" si="39"/>
        <v>0</v>
      </c>
      <c r="CC39" s="1008">
        <f>+AJ39-BG39</f>
        <v>0</v>
      </c>
      <c r="CD39" s="1008">
        <f t="shared" si="40"/>
        <v>0</v>
      </c>
      <c r="CE39" s="1008">
        <f t="shared" si="40"/>
        <v>0</v>
      </c>
      <c r="CF39" s="1008">
        <f t="shared" si="40"/>
        <v>0</v>
      </c>
      <c r="CG39" s="1008">
        <f t="shared" si="40"/>
        <v>0</v>
      </c>
      <c r="CH39" s="1008">
        <f t="shared" si="40"/>
        <v>0</v>
      </c>
      <c r="CI39" s="1008">
        <f t="shared" si="40"/>
        <v>0</v>
      </c>
      <c r="CJ39" s="1008"/>
      <c r="CK39" s="1008"/>
      <c r="CL39" s="1008">
        <f t="shared" si="41"/>
        <v>0</v>
      </c>
      <c r="CM39" s="1011">
        <f t="shared" si="13"/>
        <v>0.66048459367637047</v>
      </c>
      <c r="CN39" s="1008">
        <f t="shared" si="42"/>
        <v>119444732</v>
      </c>
      <c r="CO39" s="1008"/>
      <c r="CP39" s="1008"/>
      <c r="CQ39" s="1008"/>
      <c r="CR39" s="1008"/>
      <c r="CS39" s="1008"/>
      <c r="CT39" s="1008">
        <f>+'[14]JUNIO 2015'!$H$924</f>
        <v>20000000</v>
      </c>
      <c r="CU39" s="1008"/>
      <c r="CV39" s="1008"/>
      <c r="CW39" s="1008"/>
      <c r="CX39" s="1008"/>
      <c r="CY39" s="1008"/>
      <c r="CZ39" s="1008"/>
      <c r="DA39" s="1008"/>
      <c r="DB39" s="1008"/>
      <c r="DC39" s="1008">
        <f>+'[18]OCTUBRE 2015'!$H$1586+'[18]OCTUBRE 2015'!$H$1596+'[18]OCTUBRE 2015'!$H$1618</f>
        <v>66896181</v>
      </c>
      <c r="DD39" s="1008"/>
      <c r="DE39" s="1008"/>
      <c r="DF39" s="1008">
        <f>+'[18]OCTUBRE 2015'!$H$1602</f>
        <v>32548551</v>
      </c>
      <c r="DG39" s="1008"/>
      <c r="DH39" s="1008"/>
      <c r="DI39" s="1011">
        <f t="shared" si="15"/>
        <v>0.33951540632362953</v>
      </c>
      <c r="DJ39" s="1008">
        <f t="shared" si="43"/>
        <v>61399353</v>
      </c>
      <c r="DK39" s="1008"/>
      <c r="DL39" s="1008"/>
      <c r="DM39" s="1008"/>
      <c r="DN39" s="1008"/>
      <c r="DO39" s="1008"/>
      <c r="DP39" s="1008">
        <f t="shared" si="45"/>
        <v>0</v>
      </c>
      <c r="DQ39" s="1008">
        <f t="shared" si="45"/>
        <v>0</v>
      </c>
      <c r="DR39" s="1008"/>
      <c r="DS39" s="1008">
        <f t="shared" si="46"/>
        <v>0</v>
      </c>
      <c r="DT39" s="1008">
        <f t="shared" si="46"/>
        <v>0</v>
      </c>
      <c r="DU39" s="1008"/>
      <c r="DV39" s="1008">
        <f t="shared" si="47"/>
        <v>0</v>
      </c>
      <c r="DW39" s="1008">
        <f t="shared" si="47"/>
        <v>0</v>
      </c>
      <c r="DX39" s="1008">
        <f t="shared" si="47"/>
        <v>0</v>
      </c>
      <c r="DY39" s="1008">
        <f t="shared" si="48"/>
        <v>13103819</v>
      </c>
      <c r="DZ39" s="1008">
        <f t="shared" si="48"/>
        <v>0</v>
      </c>
      <c r="EA39" s="1008">
        <f t="shared" si="48"/>
        <v>0</v>
      </c>
      <c r="EB39" s="1008">
        <f t="shared" si="48"/>
        <v>48295534</v>
      </c>
      <c r="EC39" s="1008"/>
      <c r="ED39" s="1008">
        <f t="shared" si="49"/>
        <v>0</v>
      </c>
    </row>
    <row r="40" spans="1:134" ht="42" customHeight="1" x14ac:dyDescent="0.25">
      <c r="A40" s="1562"/>
      <c r="B40" s="1019"/>
      <c r="C40" s="1094" t="s">
        <v>4371</v>
      </c>
      <c r="D40" s="1019" t="s">
        <v>4604</v>
      </c>
      <c r="E40" s="1020">
        <v>410</v>
      </c>
      <c r="F40" s="1097" t="s">
        <v>3350</v>
      </c>
      <c r="G40" s="1400"/>
      <c r="H40" s="1061">
        <f t="shared" si="31"/>
        <v>1064000</v>
      </c>
      <c r="I40" s="1061">
        <f t="shared" si="32"/>
        <v>8936000</v>
      </c>
      <c r="J40" s="1097" t="s">
        <v>4793</v>
      </c>
      <c r="K40" s="1093" t="s">
        <v>4794</v>
      </c>
      <c r="L40" s="1093" t="s">
        <v>4795</v>
      </c>
      <c r="M40" s="1093">
        <v>0</v>
      </c>
      <c r="N40" s="1093">
        <v>0</v>
      </c>
      <c r="O40" s="1093">
        <v>0</v>
      </c>
      <c r="P40" s="1093">
        <v>6</v>
      </c>
      <c r="Q40" s="1093">
        <v>0</v>
      </c>
      <c r="R40" s="1093">
        <v>0</v>
      </c>
      <c r="S40" s="1097"/>
      <c r="T40" s="1097"/>
      <c r="U40" s="1097"/>
      <c r="V40" s="1097"/>
      <c r="W40" s="1097"/>
      <c r="X40" s="1097"/>
      <c r="Y40" s="1008">
        <f t="shared" si="33"/>
        <v>10000000</v>
      </c>
      <c r="Z40" s="1008"/>
      <c r="AA40" s="1008"/>
      <c r="AB40" s="1008"/>
      <c r="AC40" s="1008"/>
      <c r="AD40" s="1008"/>
      <c r="AE40" s="1008">
        <v>10000000</v>
      </c>
      <c r="AF40" s="1008"/>
      <c r="AG40" s="1008"/>
      <c r="AH40" s="1008"/>
      <c r="AI40" s="1008"/>
      <c r="AJ40" s="1008"/>
      <c r="AK40" s="1008"/>
      <c r="AL40" s="1008"/>
      <c r="AM40" s="1008"/>
      <c r="AN40" s="1008"/>
      <c r="AO40" s="1008"/>
      <c r="AP40" s="1008"/>
      <c r="AQ40" s="1008"/>
      <c r="AR40" s="1008"/>
      <c r="AS40" s="1008"/>
      <c r="AU40" s="1011">
        <f t="shared" si="3"/>
        <v>1</v>
      </c>
      <c r="AV40" s="1008">
        <f t="shared" si="34"/>
        <v>10000000</v>
      </c>
      <c r="AW40" s="1008"/>
      <c r="AX40" s="1008"/>
      <c r="AY40" s="1008"/>
      <c r="AZ40" s="1008"/>
      <c r="BA40" s="1008"/>
      <c r="BB40" s="1008">
        <f>+'[9]FEBRERO 2015'!$N$501</f>
        <v>10000000</v>
      </c>
      <c r="BC40" s="1008"/>
      <c r="BD40" s="1008"/>
      <c r="BE40" s="1008"/>
      <c r="BF40" s="1008"/>
      <c r="BG40" s="1008"/>
      <c r="BH40" s="1008"/>
      <c r="BI40" s="1008"/>
      <c r="BJ40" s="1008"/>
      <c r="BK40" s="1008"/>
      <c r="BL40" s="1008"/>
      <c r="BM40" s="1008"/>
      <c r="BN40" s="1008"/>
      <c r="BO40" s="1008"/>
      <c r="BP40" s="1008"/>
      <c r="BQ40" s="1011">
        <f t="shared" si="25"/>
        <v>0</v>
      </c>
      <c r="BR40" s="1008">
        <f t="shared" si="35"/>
        <v>0</v>
      </c>
      <c r="BS40" s="1008">
        <f t="shared" si="36"/>
        <v>0</v>
      </c>
      <c r="BT40" s="1008"/>
      <c r="BU40" s="1008">
        <f t="shared" si="37"/>
        <v>0</v>
      </c>
      <c r="BV40" s="1008">
        <f t="shared" si="37"/>
        <v>0</v>
      </c>
      <c r="BW40" s="1008"/>
      <c r="BX40" s="1008">
        <f t="shared" si="38"/>
        <v>0</v>
      </c>
      <c r="BY40" s="1008">
        <f t="shared" si="38"/>
        <v>0</v>
      </c>
      <c r="BZ40" s="1008"/>
      <c r="CA40" s="1008">
        <f>+AH40-BE40</f>
        <v>0</v>
      </c>
      <c r="CB40" s="1008">
        <f t="shared" si="39"/>
        <v>0</v>
      </c>
      <c r="CC40" s="1008">
        <f>+AJ40-BG40</f>
        <v>0</v>
      </c>
      <c r="CD40" s="1008">
        <f t="shared" si="40"/>
        <v>0</v>
      </c>
      <c r="CE40" s="1008">
        <f t="shared" si="40"/>
        <v>0</v>
      </c>
      <c r="CF40" s="1008">
        <f t="shared" si="40"/>
        <v>0</v>
      </c>
      <c r="CG40" s="1008">
        <f t="shared" si="40"/>
        <v>0</v>
      </c>
      <c r="CH40" s="1008">
        <f t="shared" si="40"/>
        <v>0</v>
      </c>
      <c r="CI40" s="1008">
        <f t="shared" si="40"/>
        <v>0</v>
      </c>
      <c r="CJ40" s="1008"/>
      <c r="CK40" s="1008"/>
      <c r="CL40" s="1008">
        <f t="shared" si="41"/>
        <v>0</v>
      </c>
      <c r="CM40" s="1011">
        <f t="shared" si="13"/>
        <v>0.10639999999999999</v>
      </c>
      <c r="CN40" s="1008">
        <f t="shared" si="42"/>
        <v>1064000</v>
      </c>
      <c r="CO40" s="1008"/>
      <c r="CP40" s="1008"/>
      <c r="CQ40" s="1008"/>
      <c r="CR40" s="1008"/>
      <c r="CS40" s="1008"/>
      <c r="CT40" s="1008">
        <f>+'[16]AGOSTO 2015'!$H$1265</f>
        <v>1064000</v>
      </c>
      <c r="CU40" s="1008"/>
      <c r="CV40" s="1008"/>
      <c r="CW40" s="1008"/>
      <c r="CX40" s="1008"/>
      <c r="CY40" s="1008"/>
      <c r="CZ40" s="1008"/>
      <c r="DA40" s="1008"/>
      <c r="DB40" s="1008"/>
      <c r="DC40" s="1008"/>
      <c r="DD40" s="1008"/>
      <c r="DE40" s="1008"/>
      <c r="DF40" s="1008"/>
      <c r="DG40" s="1008"/>
      <c r="DH40" s="1008"/>
      <c r="DI40" s="1011">
        <f t="shared" si="15"/>
        <v>0.89359999999999995</v>
      </c>
      <c r="DJ40" s="1008">
        <f t="shared" si="43"/>
        <v>8936000</v>
      </c>
      <c r="DK40" s="1008"/>
      <c r="DL40" s="1008"/>
      <c r="DM40" s="1008"/>
      <c r="DN40" s="1008"/>
      <c r="DO40" s="1008"/>
      <c r="DP40" s="1008">
        <f t="shared" si="45"/>
        <v>8936000</v>
      </c>
      <c r="DQ40" s="1008">
        <f t="shared" si="45"/>
        <v>0</v>
      </c>
      <c r="DR40" s="1008"/>
      <c r="DS40" s="1008">
        <f t="shared" si="46"/>
        <v>0</v>
      </c>
      <c r="DT40" s="1008">
        <f t="shared" si="46"/>
        <v>0</v>
      </c>
      <c r="DU40" s="1008"/>
      <c r="DV40" s="1008">
        <f t="shared" si="47"/>
        <v>0</v>
      </c>
      <c r="DW40" s="1008">
        <f t="shared" si="47"/>
        <v>0</v>
      </c>
      <c r="DX40" s="1008">
        <f t="shared" si="47"/>
        <v>0</v>
      </c>
      <c r="DY40" s="1008">
        <f t="shared" si="48"/>
        <v>0</v>
      </c>
      <c r="DZ40" s="1008">
        <f t="shared" si="48"/>
        <v>0</v>
      </c>
      <c r="EA40" s="1008">
        <f t="shared" si="48"/>
        <v>0</v>
      </c>
      <c r="EB40" s="1008">
        <f t="shared" si="48"/>
        <v>0</v>
      </c>
      <c r="EC40" s="1008"/>
      <c r="ED40" s="1008">
        <f t="shared" si="49"/>
        <v>0</v>
      </c>
    </row>
    <row r="41" spans="1:134" ht="48.75" customHeight="1" x14ac:dyDescent="0.25">
      <c r="A41" s="1562"/>
      <c r="B41" s="1019"/>
      <c r="C41" s="1094" t="s">
        <v>4372</v>
      </c>
      <c r="D41" s="1019" t="s">
        <v>4607</v>
      </c>
      <c r="E41" s="1020">
        <v>410</v>
      </c>
      <c r="F41" s="1097" t="s">
        <v>3350</v>
      </c>
      <c r="G41" s="1400"/>
      <c r="H41" s="1061">
        <f t="shared" si="31"/>
        <v>6500000</v>
      </c>
      <c r="I41" s="1061">
        <f t="shared" si="32"/>
        <v>3500000</v>
      </c>
      <c r="J41" s="1097" t="s">
        <v>4796</v>
      </c>
      <c r="K41" s="1093" t="s">
        <v>4797</v>
      </c>
      <c r="L41" s="1093" t="s">
        <v>4798</v>
      </c>
      <c r="M41" s="1093">
        <v>5</v>
      </c>
      <c r="N41" s="1093">
        <v>0</v>
      </c>
      <c r="O41" s="1093">
        <v>0</v>
      </c>
      <c r="P41" s="1093">
        <v>16</v>
      </c>
      <c r="Q41" s="1093">
        <v>0</v>
      </c>
      <c r="R41" s="1093">
        <v>0</v>
      </c>
      <c r="S41" s="1097"/>
      <c r="T41" s="1097"/>
      <c r="U41" s="1097"/>
      <c r="V41" s="1097"/>
      <c r="W41" s="1097"/>
      <c r="X41" s="1097"/>
      <c r="Y41" s="1008">
        <f t="shared" si="33"/>
        <v>10000000</v>
      </c>
      <c r="Z41" s="1008"/>
      <c r="AA41" s="1008"/>
      <c r="AB41" s="1008"/>
      <c r="AC41" s="1008"/>
      <c r="AD41" s="1008"/>
      <c r="AE41" s="1008">
        <f>30000000-20000000</f>
        <v>10000000</v>
      </c>
      <c r="AF41" s="1008"/>
      <c r="AG41" s="1008"/>
      <c r="AH41" s="1008"/>
      <c r="AI41" s="1008"/>
      <c r="AJ41" s="1008"/>
      <c r="AK41" s="1008"/>
      <c r="AL41" s="1008"/>
      <c r="AM41" s="1008"/>
      <c r="AN41" s="1008"/>
      <c r="AO41" s="1008"/>
      <c r="AP41" s="1008"/>
      <c r="AQ41" s="1008"/>
      <c r="AR41" s="1008"/>
      <c r="AS41" s="1008"/>
      <c r="AU41" s="1011">
        <f t="shared" si="3"/>
        <v>1</v>
      </c>
      <c r="AV41" s="1008">
        <f t="shared" si="34"/>
        <v>10000000</v>
      </c>
      <c r="AW41" s="1008"/>
      <c r="AX41" s="1008"/>
      <c r="AY41" s="1008"/>
      <c r="AZ41" s="1008"/>
      <c r="BA41" s="1008"/>
      <c r="BB41" s="1008">
        <f>+'[14]JUNIO 2015'!$O$956</f>
        <v>10000000</v>
      </c>
      <c r="BC41" s="1008"/>
      <c r="BD41" s="1008"/>
      <c r="BE41" s="1008"/>
      <c r="BF41" s="1008"/>
      <c r="BG41" s="1008"/>
      <c r="BH41" s="1008"/>
      <c r="BI41" s="1008"/>
      <c r="BJ41" s="1008"/>
      <c r="BK41" s="1008"/>
      <c r="BL41" s="1008"/>
      <c r="BM41" s="1008"/>
      <c r="BN41" s="1008"/>
      <c r="BO41" s="1008"/>
      <c r="BP41" s="1008"/>
      <c r="BQ41" s="1011">
        <f t="shared" si="25"/>
        <v>0</v>
      </c>
      <c r="BR41" s="1008">
        <f t="shared" si="35"/>
        <v>0</v>
      </c>
      <c r="BS41" s="1008">
        <f t="shared" si="36"/>
        <v>0</v>
      </c>
      <c r="BT41" s="1008"/>
      <c r="BU41" s="1008">
        <f t="shared" si="37"/>
        <v>0</v>
      </c>
      <c r="BV41" s="1008">
        <f t="shared" si="37"/>
        <v>0</v>
      </c>
      <c r="BW41" s="1008"/>
      <c r="BX41" s="1008">
        <f t="shared" si="38"/>
        <v>0</v>
      </c>
      <c r="BY41" s="1008">
        <f t="shared" si="38"/>
        <v>0</v>
      </c>
      <c r="BZ41" s="1008"/>
      <c r="CA41" s="1008">
        <f>+AH41-BE41</f>
        <v>0</v>
      </c>
      <c r="CB41" s="1008">
        <f t="shared" si="39"/>
        <v>0</v>
      </c>
      <c r="CC41" s="1008">
        <f>+AJ41-BG41</f>
        <v>0</v>
      </c>
      <c r="CD41" s="1008">
        <f t="shared" si="40"/>
        <v>0</v>
      </c>
      <c r="CE41" s="1008">
        <f t="shared" si="40"/>
        <v>0</v>
      </c>
      <c r="CF41" s="1008">
        <f t="shared" si="40"/>
        <v>0</v>
      </c>
      <c r="CG41" s="1008">
        <f t="shared" si="40"/>
        <v>0</v>
      </c>
      <c r="CH41" s="1008">
        <f t="shared" si="40"/>
        <v>0</v>
      </c>
      <c r="CI41" s="1008">
        <f t="shared" si="40"/>
        <v>0</v>
      </c>
      <c r="CJ41" s="1008"/>
      <c r="CK41" s="1008"/>
      <c r="CL41" s="1008">
        <f t="shared" si="41"/>
        <v>0</v>
      </c>
      <c r="CM41" s="1011">
        <f t="shared" si="13"/>
        <v>0.65</v>
      </c>
      <c r="CN41" s="1008">
        <f t="shared" si="42"/>
        <v>6500000</v>
      </c>
      <c r="CO41" s="1008"/>
      <c r="CP41" s="1008"/>
      <c r="CQ41" s="1008"/>
      <c r="CR41" s="1008"/>
      <c r="CS41" s="1008"/>
      <c r="CT41" s="1008">
        <f>+'[15]JULIO 2015'!$H$1127</f>
        <v>6500000</v>
      </c>
      <c r="CU41" s="1008"/>
      <c r="CV41" s="1008"/>
      <c r="CW41" s="1008"/>
      <c r="CX41" s="1008"/>
      <c r="CY41" s="1008"/>
      <c r="CZ41" s="1008"/>
      <c r="DA41" s="1008"/>
      <c r="DB41" s="1008"/>
      <c r="DC41" s="1008"/>
      <c r="DD41" s="1008"/>
      <c r="DE41" s="1008"/>
      <c r="DF41" s="1008"/>
      <c r="DG41" s="1008"/>
      <c r="DH41" s="1008"/>
      <c r="DI41" s="1011">
        <f t="shared" si="15"/>
        <v>0.35</v>
      </c>
      <c r="DJ41" s="1008">
        <f t="shared" si="43"/>
        <v>3500000</v>
      </c>
      <c r="DK41" s="1008"/>
      <c r="DL41" s="1008"/>
      <c r="DM41" s="1008"/>
      <c r="DN41" s="1008"/>
      <c r="DO41" s="1008"/>
      <c r="DP41" s="1008">
        <f t="shared" si="45"/>
        <v>3500000</v>
      </c>
      <c r="DQ41" s="1008">
        <f t="shared" si="45"/>
        <v>0</v>
      </c>
      <c r="DR41" s="1008"/>
      <c r="DS41" s="1008">
        <f t="shared" si="46"/>
        <v>0</v>
      </c>
      <c r="DT41" s="1008">
        <f t="shared" si="46"/>
        <v>0</v>
      </c>
      <c r="DU41" s="1008"/>
      <c r="DV41" s="1008">
        <f t="shared" si="47"/>
        <v>0</v>
      </c>
      <c r="DW41" s="1008">
        <f t="shared" si="47"/>
        <v>0</v>
      </c>
      <c r="DX41" s="1008">
        <f t="shared" si="47"/>
        <v>0</v>
      </c>
      <c r="DY41" s="1008">
        <f t="shared" si="48"/>
        <v>0</v>
      </c>
      <c r="DZ41" s="1008">
        <f t="shared" si="48"/>
        <v>0</v>
      </c>
      <c r="EA41" s="1008">
        <f t="shared" si="48"/>
        <v>0</v>
      </c>
      <c r="EB41" s="1008">
        <f t="shared" si="48"/>
        <v>0</v>
      </c>
      <c r="EC41" s="1008"/>
      <c r="ED41" s="1008">
        <f t="shared" si="49"/>
        <v>0</v>
      </c>
    </row>
    <row r="42" spans="1:134" ht="31.5" customHeight="1" x14ac:dyDescent="0.25">
      <c r="A42" s="1562"/>
      <c r="B42" s="1019"/>
      <c r="C42" s="1094" t="s">
        <v>4373</v>
      </c>
      <c r="D42" s="1019" t="s">
        <v>4606</v>
      </c>
      <c r="E42" s="1020">
        <v>410</v>
      </c>
      <c r="F42" s="1097" t="s">
        <v>4731</v>
      </c>
      <c r="G42" s="1400"/>
      <c r="H42" s="1061">
        <f t="shared" si="31"/>
        <v>46027628</v>
      </c>
      <c r="I42" s="1061">
        <f t="shared" si="32"/>
        <v>14949435</v>
      </c>
      <c r="J42" s="1097" t="s">
        <v>4799</v>
      </c>
      <c r="K42" s="1093" t="s">
        <v>4800</v>
      </c>
      <c r="L42" s="1093" t="s">
        <v>4801</v>
      </c>
      <c r="M42" s="1093">
        <v>0</v>
      </c>
      <c r="N42" s="1093">
        <v>0</v>
      </c>
      <c r="O42" s="1093">
        <v>0</v>
      </c>
      <c r="P42" s="1093">
        <v>3</v>
      </c>
      <c r="Q42" s="1093">
        <v>0</v>
      </c>
      <c r="R42" s="1093">
        <v>0</v>
      </c>
      <c r="S42" s="1097"/>
      <c r="T42" s="1097"/>
      <c r="U42" s="1097"/>
      <c r="V42" s="1097"/>
      <c r="W42" s="1097"/>
      <c r="X42" s="1097"/>
      <c r="Y42" s="1008">
        <f t="shared" si="33"/>
        <v>60977063</v>
      </c>
      <c r="Z42" s="1008"/>
      <c r="AA42" s="1008"/>
      <c r="AB42" s="1008"/>
      <c r="AC42" s="1008"/>
      <c r="AD42" s="1008"/>
      <c r="AE42" s="1008">
        <f>50000000+10000000</f>
        <v>60000000</v>
      </c>
      <c r="AF42" s="1008"/>
      <c r="AG42" s="1008"/>
      <c r="AH42" s="1008"/>
      <c r="AI42" s="1008"/>
      <c r="AJ42" s="1008"/>
      <c r="AK42" s="1008"/>
      <c r="AL42" s="1008"/>
      <c r="AM42" s="1008"/>
      <c r="AN42" s="1008"/>
      <c r="AO42" s="1008"/>
      <c r="AP42" s="1008"/>
      <c r="AQ42" s="1008"/>
      <c r="AR42" s="1008"/>
      <c r="AS42" s="1008">
        <v>977063</v>
      </c>
      <c r="AU42" s="1011">
        <f t="shared" si="3"/>
        <v>0.91837811211077847</v>
      </c>
      <c r="AV42" s="1008">
        <f t="shared" si="34"/>
        <v>56000000</v>
      </c>
      <c r="AW42" s="1008"/>
      <c r="AX42" s="1008"/>
      <c r="AY42" s="1008"/>
      <c r="AZ42" s="1008"/>
      <c r="BA42" s="1008"/>
      <c r="BB42" s="1008">
        <f>+'[18]OCTUBRE 2015'!$O$1641</f>
        <v>56000000</v>
      </c>
      <c r="BC42" s="1008"/>
      <c r="BD42" s="1008"/>
      <c r="BE42" s="1008"/>
      <c r="BF42" s="1008"/>
      <c r="BG42" s="1008"/>
      <c r="BH42" s="1008"/>
      <c r="BI42" s="1008"/>
      <c r="BJ42" s="1008"/>
      <c r="BK42" s="1008"/>
      <c r="BL42" s="1008"/>
      <c r="BM42" s="1008"/>
      <c r="BN42" s="1008"/>
      <c r="BO42" s="1008"/>
      <c r="BP42" s="1008"/>
      <c r="BQ42" s="1011">
        <f t="shared" si="25"/>
        <v>8.1621887889221534E-2</v>
      </c>
      <c r="BR42" s="1008">
        <f t="shared" si="35"/>
        <v>4977063</v>
      </c>
      <c r="BS42" s="1008">
        <f t="shared" si="36"/>
        <v>0</v>
      </c>
      <c r="BT42" s="1008"/>
      <c r="BU42" s="1008">
        <f t="shared" si="37"/>
        <v>0</v>
      </c>
      <c r="BV42" s="1008">
        <f t="shared" si="37"/>
        <v>0</v>
      </c>
      <c r="BW42" s="1008"/>
      <c r="BX42" s="1008">
        <f t="shared" si="38"/>
        <v>4000000</v>
      </c>
      <c r="BY42" s="1008">
        <f t="shared" si="38"/>
        <v>0</v>
      </c>
      <c r="BZ42" s="1008"/>
      <c r="CA42" s="1008">
        <f>+AH42-BE42</f>
        <v>0</v>
      </c>
      <c r="CB42" s="1008">
        <f t="shared" si="39"/>
        <v>0</v>
      </c>
      <c r="CC42" s="1008">
        <f>+AJ42-BG42</f>
        <v>0</v>
      </c>
      <c r="CD42" s="1008">
        <f t="shared" si="40"/>
        <v>0</v>
      </c>
      <c r="CE42" s="1008">
        <f t="shared" si="40"/>
        <v>0</v>
      </c>
      <c r="CF42" s="1008">
        <f t="shared" si="40"/>
        <v>0</v>
      </c>
      <c r="CG42" s="1008">
        <f t="shared" si="40"/>
        <v>0</v>
      </c>
      <c r="CH42" s="1008">
        <f t="shared" si="40"/>
        <v>0</v>
      </c>
      <c r="CI42" s="1008">
        <f t="shared" si="40"/>
        <v>0</v>
      </c>
      <c r="CJ42" s="1008"/>
      <c r="CK42" s="1008"/>
      <c r="CL42" s="1008">
        <f t="shared" si="41"/>
        <v>977063</v>
      </c>
      <c r="CM42" s="1011">
        <f t="shared" si="13"/>
        <v>0.75483510906387863</v>
      </c>
      <c r="CN42" s="1008">
        <f t="shared" si="42"/>
        <v>46027628</v>
      </c>
      <c r="CO42" s="1008"/>
      <c r="CP42" s="1008"/>
      <c r="CQ42" s="1008"/>
      <c r="CR42" s="1008"/>
      <c r="CS42" s="1008"/>
      <c r="CT42" s="1008">
        <f>+'[18]OCTUBRE 2015'!$H$1639</f>
        <v>46027628</v>
      </c>
      <c r="CU42" s="1008"/>
      <c r="CV42" s="1008"/>
      <c r="CW42" s="1008"/>
      <c r="CX42" s="1008"/>
      <c r="CY42" s="1008"/>
      <c r="CZ42" s="1008"/>
      <c r="DA42" s="1008"/>
      <c r="DB42" s="1008"/>
      <c r="DC42" s="1008"/>
      <c r="DD42" s="1008"/>
      <c r="DE42" s="1008"/>
      <c r="DF42" s="1008"/>
      <c r="DG42" s="1008"/>
      <c r="DH42" s="1008"/>
      <c r="DI42" s="1011">
        <f t="shared" si="15"/>
        <v>0.24516489093612137</v>
      </c>
      <c r="DJ42" s="1008">
        <f t="shared" si="43"/>
        <v>14949435</v>
      </c>
      <c r="DK42" s="1008"/>
      <c r="DL42" s="1008"/>
      <c r="DM42" s="1008"/>
      <c r="DN42" s="1008"/>
      <c r="DO42" s="1008"/>
      <c r="DP42" s="1008">
        <f t="shared" si="45"/>
        <v>13972372</v>
      </c>
      <c r="DQ42" s="1008">
        <f t="shared" si="45"/>
        <v>0</v>
      </c>
      <c r="DR42" s="1008"/>
      <c r="DS42" s="1008">
        <f t="shared" si="46"/>
        <v>0</v>
      </c>
      <c r="DT42" s="1008">
        <f t="shared" si="46"/>
        <v>0</v>
      </c>
      <c r="DU42" s="1008"/>
      <c r="DV42" s="1008">
        <f t="shared" si="47"/>
        <v>0</v>
      </c>
      <c r="DW42" s="1008">
        <f t="shared" si="47"/>
        <v>0</v>
      </c>
      <c r="DX42" s="1008">
        <f t="shared" si="47"/>
        <v>0</v>
      </c>
      <c r="DY42" s="1008">
        <f t="shared" si="48"/>
        <v>0</v>
      </c>
      <c r="DZ42" s="1008">
        <f t="shared" si="48"/>
        <v>0</v>
      </c>
      <c r="EA42" s="1008">
        <f t="shared" si="48"/>
        <v>0</v>
      </c>
      <c r="EB42" s="1008">
        <f t="shared" si="48"/>
        <v>0</v>
      </c>
      <c r="EC42" s="1008"/>
      <c r="ED42" s="1008">
        <f t="shared" si="49"/>
        <v>977063</v>
      </c>
    </row>
    <row r="43" spans="1:134" ht="46.5" customHeight="1" x14ac:dyDescent="0.25">
      <c r="A43" s="1562"/>
      <c r="B43" s="1019"/>
      <c r="C43" s="1094" t="s">
        <v>4374</v>
      </c>
      <c r="D43" s="1019" t="s">
        <v>4605</v>
      </c>
      <c r="E43" s="1020">
        <v>410</v>
      </c>
      <c r="F43" s="1097" t="s">
        <v>3350</v>
      </c>
      <c r="G43" s="1401"/>
      <c r="H43" s="1061">
        <f t="shared" si="31"/>
        <v>69890000</v>
      </c>
      <c r="I43" s="1061">
        <f t="shared" si="32"/>
        <v>110000</v>
      </c>
      <c r="J43" s="1097" t="s">
        <v>4802</v>
      </c>
      <c r="K43" s="1093" t="s">
        <v>4804</v>
      </c>
      <c r="L43" s="1093" t="s">
        <v>4803</v>
      </c>
      <c r="M43" s="1093">
        <v>31</v>
      </c>
      <c r="N43" s="1093">
        <v>95</v>
      </c>
      <c r="O43" s="1093">
        <v>30</v>
      </c>
      <c r="P43" s="1093">
        <v>71</v>
      </c>
      <c r="Q43" s="1093">
        <v>585</v>
      </c>
      <c r="R43" s="1093">
        <v>414</v>
      </c>
      <c r="S43" s="1097"/>
      <c r="T43" s="1097"/>
      <c r="U43" s="1097"/>
      <c r="V43" s="1097"/>
      <c r="W43" s="1097"/>
      <c r="X43" s="1097"/>
      <c r="Y43" s="1008">
        <f t="shared" si="33"/>
        <v>70000000</v>
      </c>
      <c r="Z43" s="1008"/>
      <c r="AA43" s="1008"/>
      <c r="AB43" s="1008"/>
      <c r="AC43" s="1008"/>
      <c r="AD43" s="1008"/>
      <c r="AE43" s="1008">
        <f>50000000+20000000</f>
        <v>70000000</v>
      </c>
      <c r="AF43" s="1008"/>
      <c r="AG43" s="1008"/>
      <c r="AH43" s="1008"/>
      <c r="AI43" s="1008"/>
      <c r="AJ43" s="1008"/>
      <c r="AK43" s="1008"/>
      <c r="AL43" s="1008"/>
      <c r="AM43" s="1008"/>
      <c r="AN43" s="1008"/>
      <c r="AO43" s="1008"/>
      <c r="AP43" s="1008"/>
      <c r="AQ43" s="1008"/>
      <c r="AR43" s="1008"/>
      <c r="AS43" s="1008"/>
      <c r="AU43" s="1011">
        <f t="shared" si="3"/>
        <v>0.99842857142857144</v>
      </c>
      <c r="AV43" s="1008">
        <f t="shared" si="34"/>
        <v>69890000</v>
      </c>
      <c r="AW43" s="1008"/>
      <c r="AX43" s="1008"/>
      <c r="AY43" s="1008"/>
      <c r="AZ43" s="1008"/>
      <c r="BA43" s="1008"/>
      <c r="BB43" s="1008">
        <f>+'[18]OCTUBRE 2015'!$O$1664</f>
        <v>69890000</v>
      </c>
      <c r="BC43" s="1008"/>
      <c r="BD43" s="1008"/>
      <c r="BE43" s="1008"/>
      <c r="BF43" s="1008"/>
      <c r="BG43" s="1008"/>
      <c r="BH43" s="1008"/>
      <c r="BI43" s="1008"/>
      <c r="BJ43" s="1008"/>
      <c r="BK43" s="1008"/>
      <c r="BL43" s="1008"/>
      <c r="BM43" s="1008"/>
      <c r="BN43" s="1008"/>
      <c r="BO43" s="1008"/>
      <c r="BP43" s="1008"/>
      <c r="BQ43" s="1011">
        <f t="shared" si="25"/>
        <v>1.571428571428557E-3</v>
      </c>
      <c r="BR43" s="1008">
        <f t="shared" si="35"/>
        <v>110000</v>
      </c>
      <c r="BS43" s="1008">
        <f t="shared" si="36"/>
        <v>0</v>
      </c>
      <c r="BT43" s="1008"/>
      <c r="BU43" s="1008">
        <f t="shared" si="37"/>
        <v>0</v>
      </c>
      <c r="BV43" s="1008">
        <f t="shared" si="37"/>
        <v>0</v>
      </c>
      <c r="BW43" s="1008"/>
      <c r="BX43" s="1008">
        <f t="shared" si="38"/>
        <v>110000</v>
      </c>
      <c r="BY43" s="1008">
        <f t="shared" si="38"/>
        <v>0</v>
      </c>
      <c r="BZ43" s="1008"/>
      <c r="CA43" s="1008"/>
      <c r="CB43" s="1008"/>
      <c r="CC43" s="1008"/>
      <c r="CD43" s="1008">
        <f t="shared" si="40"/>
        <v>0</v>
      </c>
      <c r="CE43" s="1008">
        <f t="shared" si="40"/>
        <v>0</v>
      </c>
      <c r="CF43" s="1008">
        <f t="shared" si="40"/>
        <v>0</v>
      </c>
      <c r="CG43" s="1008">
        <f t="shared" si="40"/>
        <v>0</v>
      </c>
      <c r="CH43" s="1008">
        <f t="shared" si="40"/>
        <v>0</v>
      </c>
      <c r="CI43" s="1008">
        <f t="shared" si="40"/>
        <v>0</v>
      </c>
      <c r="CJ43" s="1008"/>
      <c r="CK43" s="1008"/>
      <c r="CL43" s="1008">
        <f t="shared" si="41"/>
        <v>0</v>
      </c>
      <c r="CM43" s="1011">
        <f t="shared" si="13"/>
        <v>0.99842857142857144</v>
      </c>
      <c r="CN43" s="1008">
        <f t="shared" si="42"/>
        <v>69890000</v>
      </c>
      <c r="CO43" s="1008"/>
      <c r="CP43" s="1008"/>
      <c r="CQ43" s="1008"/>
      <c r="CR43" s="1008"/>
      <c r="CS43" s="1008"/>
      <c r="CT43" s="1008">
        <f>+'[18]OCTUBRE 2015'!$H$1662</f>
        <v>69890000</v>
      </c>
      <c r="CU43" s="1008"/>
      <c r="CV43" s="1008"/>
      <c r="CW43" s="1008"/>
      <c r="CX43" s="1008"/>
      <c r="CY43" s="1008"/>
      <c r="CZ43" s="1008"/>
      <c r="DA43" s="1008"/>
      <c r="DB43" s="1008"/>
      <c r="DC43" s="1008"/>
      <c r="DD43" s="1008"/>
      <c r="DE43" s="1008"/>
      <c r="DF43" s="1008"/>
      <c r="DG43" s="1008"/>
      <c r="DH43" s="1008"/>
      <c r="DI43" s="1011">
        <f t="shared" si="15"/>
        <v>1.571428571428557E-3</v>
      </c>
      <c r="DJ43" s="1008">
        <f t="shared" si="43"/>
        <v>110000</v>
      </c>
      <c r="DK43" s="1008"/>
      <c r="DL43" s="1008"/>
      <c r="DM43" s="1008"/>
      <c r="DN43" s="1008"/>
      <c r="DO43" s="1008"/>
      <c r="DP43" s="1008">
        <f t="shared" si="45"/>
        <v>110000</v>
      </c>
      <c r="DQ43" s="1008">
        <f t="shared" si="45"/>
        <v>0</v>
      </c>
      <c r="DR43" s="1008"/>
      <c r="DS43" s="1008">
        <f t="shared" si="46"/>
        <v>0</v>
      </c>
      <c r="DT43" s="1008">
        <f t="shared" si="46"/>
        <v>0</v>
      </c>
      <c r="DU43" s="1008"/>
      <c r="DV43" s="1008">
        <f t="shared" si="47"/>
        <v>0</v>
      </c>
      <c r="DW43" s="1008">
        <f t="shared" si="47"/>
        <v>0</v>
      </c>
      <c r="DX43" s="1008">
        <f t="shared" si="47"/>
        <v>0</v>
      </c>
      <c r="DY43" s="1008">
        <f t="shared" si="48"/>
        <v>0</v>
      </c>
      <c r="DZ43" s="1008">
        <f t="shared" si="48"/>
        <v>0</v>
      </c>
      <c r="EA43" s="1008">
        <f t="shared" si="48"/>
        <v>0</v>
      </c>
      <c r="EB43" s="1008">
        <f t="shared" si="48"/>
        <v>0</v>
      </c>
      <c r="EC43" s="1008"/>
      <c r="ED43" s="1008">
        <f t="shared" si="49"/>
        <v>0</v>
      </c>
    </row>
    <row r="44" spans="1:134" ht="39" customHeight="1" x14ac:dyDescent="0.25">
      <c r="A44" s="1562"/>
      <c r="B44" s="1028" t="s">
        <v>4309</v>
      </c>
      <c r="C44" s="1094" t="s">
        <v>4376</v>
      </c>
      <c r="D44" s="1019" t="s">
        <v>4320</v>
      </c>
      <c r="E44" s="1110">
        <v>410</v>
      </c>
      <c r="F44" s="1097" t="s">
        <v>3350</v>
      </c>
      <c r="G44" s="1399">
        <v>303000000</v>
      </c>
      <c r="H44" s="1061">
        <f t="shared" si="31"/>
        <v>42007546</v>
      </c>
      <c r="I44" s="1061">
        <f t="shared" si="32"/>
        <v>12415125</v>
      </c>
      <c r="J44" s="1097" t="s">
        <v>4805</v>
      </c>
      <c r="K44" s="1093" t="s">
        <v>4806</v>
      </c>
      <c r="L44" s="1093" t="s">
        <v>4815</v>
      </c>
      <c r="M44" s="1093">
        <v>0</v>
      </c>
      <c r="N44" s="1093">
        <v>21</v>
      </c>
      <c r="O44" s="1093">
        <v>0</v>
      </c>
      <c r="P44" s="1093">
        <v>18</v>
      </c>
      <c r="Q44" s="1093">
        <v>25</v>
      </c>
      <c r="R44" s="1093">
        <v>4</v>
      </c>
      <c r="S44" s="1097"/>
      <c r="T44" s="1097"/>
      <c r="U44" s="1097"/>
      <c r="V44" s="1097"/>
      <c r="W44" s="1097"/>
      <c r="X44" s="1097"/>
      <c r="Y44" s="1008">
        <f t="shared" si="33"/>
        <v>54422671</v>
      </c>
      <c r="Z44" s="1008"/>
      <c r="AA44" s="1008">
        <f>80000000-69189100</f>
        <v>10810900</v>
      </c>
      <c r="AB44" s="1008"/>
      <c r="AC44" s="1008"/>
      <c r="AD44" s="1008"/>
      <c r="AE44" s="1008"/>
      <c r="AF44" s="1008">
        <f>20000000</f>
        <v>20000000</v>
      </c>
      <c r="AG44" s="1008"/>
      <c r="AH44" s="1008"/>
      <c r="AI44" s="1008"/>
      <c r="AJ44" s="1008"/>
      <c r="AK44" s="1008"/>
      <c r="AL44" s="1008"/>
      <c r="AM44" s="1008"/>
      <c r="AN44" s="1008"/>
      <c r="AO44" s="1008">
        <v>23611771</v>
      </c>
      <c r="AP44" s="1008"/>
      <c r="AQ44" s="1008"/>
      <c r="AR44" s="1008"/>
      <c r="AS44" s="1008"/>
      <c r="AU44" s="1011">
        <f t="shared" si="3"/>
        <v>0.97676078779742359</v>
      </c>
      <c r="AV44" s="1008">
        <f t="shared" si="34"/>
        <v>53157931</v>
      </c>
      <c r="AW44" s="1008"/>
      <c r="AX44" s="1008">
        <f>+'[14]JUNIO 2015'!$K$1009</f>
        <v>9546220</v>
      </c>
      <c r="AY44" s="1008"/>
      <c r="AZ44" s="1008"/>
      <c r="BA44" s="1008"/>
      <c r="BB44" s="1008"/>
      <c r="BC44" s="1008">
        <f>+'[14]JUNIO 2015'!$P$1009</f>
        <v>20000000</v>
      </c>
      <c r="BD44" s="1008"/>
      <c r="BE44" s="1008"/>
      <c r="BF44" s="1008"/>
      <c r="BG44" s="1008"/>
      <c r="BH44" s="1008"/>
      <c r="BI44" s="1008"/>
      <c r="BJ44" s="1008"/>
      <c r="BK44" s="1008"/>
      <c r="BL44" s="1008">
        <f>+'[15]JULIO 2015'!$Y$1192</f>
        <v>23611711</v>
      </c>
      <c r="BM44" s="1008"/>
      <c r="BN44" s="1008"/>
      <c r="BO44" s="1008"/>
      <c r="BP44" s="1008"/>
      <c r="BQ44" s="1011">
        <f t="shared" si="25"/>
        <v>2.3239212202576409E-2</v>
      </c>
      <c r="BR44" s="1008">
        <f t="shared" si="35"/>
        <v>1264740</v>
      </c>
      <c r="BS44" s="1008">
        <f t="shared" si="36"/>
        <v>0</v>
      </c>
      <c r="BT44" s="1008">
        <f>AA44-AX44</f>
        <v>1264680</v>
      </c>
      <c r="BU44" s="1008">
        <f t="shared" si="37"/>
        <v>0</v>
      </c>
      <c r="BV44" s="1008">
        <f t="shared" si="37"/>
        <v>0</v>
      </c>
      <c r="BW44" s="1008"/>
      <c r="BX44" s="1008">
        <f t="shared" si="38"/>
        <v>0</v>
      </c>
      <c r="BY44" s="1008">
        <f t="shared" si="38"/>
        <v>0</v>
      </c>
      <c r="BZ44" s="1008"/>
      <c r="CA44" s="1008">
        <f t="shared" ref="CA44:CC48" si="50">+AH44-BE44</f>
        <v>0</v>
      </c>
      <c r="CB44" s="1008">
        <f t="shared" si="50"/>
        <v>0</v>
      </c>
      <c r="CC44" s="1008">
        <f t="shared" si="50"/>
        <v>0</v>
      </c>
      <c r="CD44" s="1008">
        <f t="shared" si="40"/>
        <v>0</v>
      </c>
      <c r="CE44" s="1008">
        <f t="shared" si="40"/>
        <v>0</v>
      </c>
      <c r="CF44" s="1008">
        <f t="shared" si="40"/>
        <v>0</v>
      </c>
      <c r="CG44" s="1008">
        <f t="shared" si="40"/>
        <v>0</v>
      </c>
      <c r="CH44" s="1008">
        <f t="shared" si="40"/>
        <v>60</v>
      </c>
      <c r="CI44" s="1008">
        <f t="shared" si="40"/>
        <v>0</v>
      </c>
      <c r="CJ44" s="1008"/>
      <c r="CK44" s="1008"/>
      <c r="CL44" s="1008">
        <f t="shared" si="41"/>
        <v>0</v>
      </c>
      <c r="CM44" s="1011">
        <f t="shared" si="13"/>
        <v>0.77187586033768907</v>
      </c>
      <c r="CN44" s="1008">
        <f t="shared" si="42"/>
        <v>42007546</v>
      </c>
      <c r="CO44" s="1008"/>
      <c r="CP44" s="1008">
        <f>+'[14]JUNIO 2015'!$H$1010</f>
        <v>9546220</v>
      </c>
      <c r="CQ44" s="1008"/>
      <c r="CR44" s="1008"/>
      <c r="CS44" s="1008"/>
      <c r="CT44" s="1008"/>
      <c r="CU44" s="1008">
        <f>+'[18]OCTUBRE 2015'!$H$1729</f>
        <v>20000000</v>
      </c>
      <c r="CV44" s="1008"/>
      <c r="CW44" s="1008"/>
      <c r="CX44" s="1008"/>
      <c r="CY44" s="1008"/>
      <c r="CZ44" s="1008"/>
      <c r="DA44" s="1008"/>
      <c r="DB44" s="1008"/>
      <c r="DC44" s="1008"/>
      <c r="DD44" s="1008">
        <f>+'[18]OCTUBRE 2015'!$H$1742</f>
        <v>12461326</v>
      </c>
      <c r="DE44" s="1008"/>
      <c r="DF44" s="1008"/>
      <c r="DG44" s="1008"/>
      <c r="DH44" s="1008"/>
      <c r="DI44" s="1011">
        <f t="shared" si="15"/>
        <v>0.22812413966231093</v>
      </c>
      <c r="DJ44" s="1008">
        <f t="shared" si="43"/>
        <v>12415125</v>
      </c>
      <c r="DK44" s="1008"/>
      <c r="DL44" s="1008">
        <f t="shared" ref="DL44:DN58" si="51">AA44-CP44</f>
        <v>1264680</v>
      </c>
      <c r="DM44" s="1008">
        <f t="shared" si="51"/>
        <v>0</v>
      </c>
      <c r="DN44" s="1008">
        <f t="shared" si="51"/>
        <v>0</v>
      </c>
      <c r="DO44" s="1008"/>
      <c r="DP44" s="1008">
        <f t="shared" si="45"/>
        <v>0</v>
      </c>
      <c r="DQ44" s="1008">
        <f t="shared" si="45"/>
        <v>0</v>
      </c>
      <c r="DR44" s="1008"/>
      <c r="DS44" s="1008">
        <f t="shared" si="46"/>
        <v>0</v>
      </c>
      <c r="DT44" s="1008">
        <f t="shared" si="46"/>
        <v>0</v>
      </c>
      <c r="DU44" s="1008"/>
      <c r="DV44" s="1008">
        <f t="shared" si="47"/>
        <v>0</v>
      </c>
      <c r="DW44" s="1008">
        <f t="shared" si="47"/>
        <v>0</v>
      </c>
      <c r="DX44" s="1008">
        <f t="shared" si="47"/>
        <v>0</v>
      </c>
      <c r="DY44" s="1008">
        <f t="shared" si="48"/>
        <v>0</v>
      </c>
      <c r="DZ44" s="1008">
        <f t="shared" si="48"/>
        <v>11150445</v>
      </c>
      <c r="EA44" s="1008">
        <f t="shared" si="48"/>
        <v>0</v>
      </c>
      <c r="EB44" s="1008">
        <f t="shared" si="48"/>
        <v>0</v>
      </c>
      <c r="EC44" s="1008"/>
      <c r="ED44" s="1008">
        <f t="shared" si="49"/>
        <v>0</v>
      </c>
    </row>
    <row r="45" spans="1:134" ht="34.5" customHeight="1" x14ac:dyDescent="0.25">
      <c r="A45" s="1562"/>
      <c r="B45" s="1019"/>
      <c r="C45" s="1094" t="s">
        <v>4377</v>
      </c>
      <c r="D45" s="1107" t="s">
        <v>4321</v>
      </c>
      <c r="E45" s="1020">
        <v>410</v>
      </c>
      <c r="F45" s="1097" t="s">
        <v>3350</v>
      </c>
      <c r="G45" s="1400"/>
      <c r="H45" s="1061">
        <f t="shared" si="31"/>
        <v>38030965</v>
      </c>
      <c r="I45" s="1061">
        <f t="shared" si="32"/>
        <v>9050965</v>
      </c>
      <c r="J45" s="1097" t="s">
        <v>4807</v>
      </c>
      <c r="K45" s="1093" t="s">
        <v>4808</v>
      </c>
      <c r="L45" s="1093" t="s">
        <v>4816</v>
      </c>
      <c r="M45" s="1093">
        <v>0</v>
      </c>
      <c r="N45" s="1093">
        <v>107</v>
      </c>
      <c r="O45" s="1093">
        <v>0</v>
      </c>
      <c r="P45" s="1093">
        <v>4</v>
      </c>
      <c r="Q45" s="1093">
        <v>107</v>
      </c>
      <c r="R45" s="1093">
        <v>5</v>
      </c>
      <c r="S45" s="1097"/>
      <c r="T45" s="1097"/>
      <c r="U45" s="1097"/>
      <c r="V45" s="1097"/>
      <c r="W45" s="1097"/>
      <c r="X45" s="1097"/>
      <c r="Y45" s="1008">
        <f t="shared" si="33"/>
        <v>47081930</v>
      </c>
      <c r="Z45" s="1008"/>
      <c r="AA45" s="1008">
        <f>64000000-61918070</f>
        <v>2081930</v>
      </c>
      <c r="AB45" s="1008"/>
      <c r="AC45" s="1008"/>
      <c r="AD45" s="1008"/>
      <c r="AE45" s="1008"/>
      <c r="AF45" s="1008">
        <f>20000000</f>
        <v>20000000</v>
      </c>
      <c r="AG45" s="1008"/>
      <c r="AH45" s="1008"/>
      <c r="AI45" s="1008"/>
      <c r="AJ45" s="1008"/>
      <c r="AK45" s="1008"/>
      <c r="AL45" s="1008"/>
      <c r="AM45" s="1008"/>
      <c r="AN45" s="1008"/>
      <c r="AO45" s="1008">
        <v>25000000</v>
      </c>
      <c r="AP45" s="1008"/>
      <c r="AQ45" s="1008"/>
      <c r="AR45" s="1008"/>
      <c r="AS45" s="1008"/>
      <c r="AU45" s="1011">
        <f t="shared" si="3"/>
        <v>1</v>
      </c>
      <c r="AV45" s="1008">
        <f t="shared" si="34"/>
        <v>47081930</v>
      </c>
      <c r="AW45" s="1008"/>
      <c r="AX45" s="1008">
        <f>+'[14]JUNIO 2015'!$K$1023</f>
        <v>2081930</v>
      </c>
      <c r="AY45" s="1008"/>
      <c r="AZ45" s="1008"/>
      <c r="BA45" s="1008"/>
      <c r="BB45" s="1008"/>
      <c r="BC45" s="1008">
        <f>+'[14]JUNIO 2015'!$P$1023</f>
        <v>20000000</v>
      </c>
      <c r="BD45" s="1008"/>
      <c r="BE45" s="1008"/>
      <c r="BF45" s="1008"/>
      <c r="BG45" s="1008"/>
      <c r="BH45" s="1008"/>
      <c r="BI45" s="1008"/>
      <c r="BJ45" s="1008"/>
      <c r="BK45" s="1008"/>
      <c r="BL45" s="1008">
        <f>+'[15]JULIO 2015'!$Y$1215</f>
        <v>25000000</v>
      </c>
      <c r="BM45" s="1008"/>
      <c r="BN45" s="1008"/>
      <c r="BO45" s="1008"/>
      <c r="BP45" s="1008"/>
      <c r="BQ45" s="1011">
        <f t="shared" si="25"/>
        <v>0</v>
      </c>
      <c r="BR45" s="1008">
        <f t="shared" si="35"/>
        <v>0</v>
      </c>
      <c r="BS45" s="1008">
        <f t="shared" si="36"/>
        <v>0</v>
      </c>
      <c r="BT45" s="1008">
        <f>AA45-AX45</f>
        <v>0</v>
      </c>
      <c r="BU45" s="1008">
        <f t="shared" si="37"/>
        <v>0</v>
      </c>
      <c r="BV45" s="1008">
        <f t="shared" si="37"/>
        <v>0</v>
      </c>
      <c r="BW45" s="1008"/>
      <c r="BX45" s="1008">
        <f t="shared" si="38"/>
        <v>0</v>
      </c>
      <c r="BY45" s="1008">
        <f t="shared" si="38"/>
        <v>0</v>
      </c>
      <c r="BZ45" s="1008"/>
      <c r="CA45" s="1008">
        <f t="shared" si="50"/>
        <v>0</v>
      </c>
      <c r="CB45" s="1008">
        <f t="shared" si="50"/>
        <v>0</v>
      </c>
      <c r="CC45" s="1008">
        <f t="shared" si="50"/>
        <v>0</v>
      </c>
      <c r="CD45" s="1008">
        <f t="shared" si="40"/>
        <v>0</v>
      </c>
      <c r="CE45" s="1008">
        <f t="shared" si="40"/>
        <v>0</v>
      </c>
      <c r="CF45" s="1008">
        <f t="shared" si="40"/>
        <v>0</v>
      </c>
      <c r="CG45" s="1008">
        <f t="shared" si="40"/>
        <v>0</v>
      </c>
      <c r="CH45" s="1008">
        <f t="shared" si="40"/>
        <v>0</v>
      </c>
      <c r="CI45" s="1008">
        <f t="shared" si="40"/>
        <v>0</v>
      </c>
      <c r="CJ45" s="1008"/>
      <c r="CK45" s="1008"/>
      <c r="CL45" s="1008">
        <f t="shared" si="41"/>
        <v>0</v>
      </c>
      <c r="CM45" s="1011">
        <f t="shared" si="13"/>
        <v>0.80776138531279407</v>
      </c>
      <c r="CN45" s="1008">
        <f t="shared" si="42"/>
        <v>38030965</v>
      </c>
      <c r="CO45" s="1008"/>
      <c r="CP45" s="1008">
        <f>+'[12]MAYO 2015'!$H$858</f>
        <v>2081930</v>
      </c>
      <c r="CQ45" s="1008"/>
      <c r="CR45" s="1008"/>
      <c r="CS45" s="1008"/>
      <c r="CT45" s="1008"/>
      <c r="CU45" s="1008">
        <f>+'[17]SEPTIEMBRE 2015'!$H$1555</f>
        <v>20000000</v>
      </c>
      <c r="CV45" s="1008"/>
      <c r="CW45" s="1008"/>
      <c r="CX45" s="1008"/>
      <c r="CY45" s="1008"/>
      <c r="CZ45" s="1008"/>
      <c r="DA45" s="1008"/>
      <c r="DB45" s="1008"/>
      <c r="DC45" s="1008"/>
      <c r="DD45" s="1008">
        <f>+'[18]OCTUBRE 2015'!$H$1784</f>
        <v>15949035</v>
      </c>
      <c r="DE45" s="1008"/>
      <c r="DF45" s="1008"/>
      <c r="DG45" s="1008"/>
      <c r="DH45" s="1008"/>
      <c r="DI45" s="1011">
        <f t="shared" si="15"/>
        <v>0.19223861468720593</v>
      </c>
      <c r="DJ45" s="1008">
        <f t="shared" si="43"/>
        <v>9050965</v>
      </c>
      <c r="DK45" s="1008"/>
      <c r="DL45" s="1008">
        <f t="shared" si="51"/>
        <v>0</v>
      </c>
      <c r="DM45" s="1008">
        <f t="shared" si="51"/>
        <v>0</v>
      </c>
      <c r="DN45" s="1008">
        <f t="shared" si="51"/>
        <v>0</v>
      </c>
      <c r="DO45" s="1008"/>
      <c r="DP45" s="1008">
        <f t="shared" si="45"/>
        <v>0</v>
      </c>
      <c r="DQ45" s="1008">
        <f t="shared" si="45"/>
        <v>0</v>
      </c>
      <c r="DR45" s="1008"/>
      <c r="DS45" s="1008">
        <f t="shared" si="46"/>
        <v>0</v>
      </c>
      <c r="DT45" s="1008">
        <f t="shared" si="46"/>
        <v>0</v>
      </c>
      <c r="DU45" s="1008"/>
      <c r="DV45" s="1008">
        <f t="shared" si="47"/>
        <v>0</v>
      </c>
      <c r="DW45" s="1008">
        <f t="shared" si="47"/>
        <v>0</v>
      </c>
      <c r="DX45" s="1008">
        <f t="shared" si="47"/>
        <v>0</v>
      </c>
      <c r="DY45" s="1008">
        <f t="shared" si="48"/>
        <v>0</v>
      </c>
      <c r="DZ45" s="1008">
        <f t="shared" si="48"/>
        <v>9050965</v>
      </c>
      <c r="EA45" s="1008">
        <f t="shared" si="48"/>
        <v>0</v>
      </c>
      <c r="EB45" s="1008">
        <f t="shared" si="48"/>
        <v>0</v>
      </c>
      <c r="EC45" s="1008"/>
      <c r="ED45" s="1008">
        <f t="shared" si="49"/>
        <v>0</v>
      </c>
    </row>
    <row r="46" spans="1:134" ht="48" customHeight="1" x14ac:dyDescent="0.25">
      <c r="A46" s="1562"/>
      <c r="B46" s="1019"/>
      <c r="C46" s="1094" t="s">
        <v>4378</v>
      </c>
      <c r="D46" s="1019" t="s">
        <v>4322</v>
      </c>
      <c r="E46" s="1020">
        <v>410</v>
      </c>
      <c r="F46" s="1097" t="s">
        <v>4670</v>
      </c>
      <c r="G46" s="1400"/>
      <c r="H46" s="1061">
        <f t="shared" si="31"/>
        <v>6992750</v>
      </c>
      <c r="I46" s="1061">
        <f t="shared" si="32"/>
        <v>1007250</v>
      </c>
      <c r="J46" s="1097" t="s">
        <v>4809</v>
      </c>
      <c r="K46" s="1093" t="s">
        <v>4810</v>
      </c>
      <c r="L46" s="1093" t="s">
        <v>4817</v>
      </c>
      <c r="M46" s="1093">
        <v>17</v>
      </c>
      <c r="N46" s="1093">
        <v>20</v>
      </c>
      <c r="O46" s="1093">
        <v>3</v>
      </c>
      <c r="P46" s="1093">
        <v>31</v>
      </c>
      <c r="Q46" s="1093">
        <v>45</v>
      </c>
      <c r="R46" s="1093">
        <v>14</v>
      </c>
      <c r="S46" s="1097"/>
      <c r="T46" s="1097"/>
      <c r="U46" s="1097"/>
      <c r="V46" s="1097"/>
      <c r="W46" s="1097"/>
      <c r="X46" s="1097"/>
      <c r="Y46" s="1008">
        <f t="shared" si="33"/>
        <v>8000000</v>
      </c>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f>3000000+5000000</f>
        <v>8000000</v>
      </c>
      <c r="AU46" s="1011">
        <f t="shared" si="3"/>
        <v>1</v>
      </c>
      <c r="AV46" s="1008">
        <f t="shared" si="34"/>
        <v>8000000</v>
      </c>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f>+'[15]JULIO 2015'!$G$1233</f>
        <v>8000000</v>
      </c>
      <c r="BQ46" s="1011">
        <f t="shared" si="25"/>
        <v>0</v>
      </c>
      <c r="BR46" s="1008">
        <f t="shared" si="35"/>
        <v>0</v>
      </c>
      <c r="BS46" s="1008">
        <f t="shared" si="36"/>
        <v>0</v>
      </c>
      <c r="BT46" s="1008"/>
      <c r="BU46" s="1008">
        <f t="shared" si="37"/>
        <v>0</v>
      </c>
      <c r="BV46" s="1008">
        <f t="shared" si="37"/>
        <v>0</v>
      </c>
      <c r="BW46" s="1008"/>
      <c r="BX46" s="1008">
        <f t="shared" si="38"/>
        <v>0</v>
      </c>
      <c r="BY46" s="1008">
        <f t="shared" si="38"/>
        <v>0</v>
      </c>
      <c r="BZ46" s="1008"/>
      <c r="CA46" s="1008">
        <f t="shared" si="50"/>
        <v>0</v>
      </c>
      <c r="CB46" s="1008">
        <f t="shared" si="50"/>
        <v>0</v>
      </c>
      <c r="CC46" s="1008">
        <f t="shared" si="50"/>
        <v>0</v>
      </c>
      <c r="CD46" s="1008">
        <f t="shared" si="40"/>
        <v>0</v>
      </c>
      <c r="CE46" s="1008">
        <f t="shared" si="40"/>
        <v>0</v>
      </c>
      <c r="CF46" s="1008">
        <f t="shared" si="40"/>
        <v>0</v>
      </c>
      <c r="CG46" s="1008">
        <f t="shared" si="40"/>
        <v>0</v>
      </c>
      <c r="CH46" s="1008">
        <f t="shared" si="40"/>
        <v>0</v>
      </c>
      <c r="CI46" s="1008">
        <f t="shared" si="40"/>
        <v>0</v>
      </c>
      <c r="CJ46" s="1008"/>
      <c r="CK46" s="1008"/>
      <c r="CL46" s="1008">
        <f t="shared" si="41"/>
        <v>0</v>
      </c>
      <c r="CM46" s="1011">
        <f t="shared" si="13"/>
        <v>0.87409375</v>
      </c>
      <c r="CN46" s="1008">
        <f t="shared" si="42"/>
        <v>6992750</v>
      </c>
      <c r="CO46" s="1008"/>
      <c r="CP46" s="1008"/>
      <c r="CQ46" s="1008"/>
      <c r="CR46" s="1008"/>
      <c r="CS46" s="1008"/>
      <c r="CT46" s="1008"/>
      <c r="CU46" s="1008"/>
      <c r="CV46" s="1008"/>
      <c r="CW46" s="1008"/>
      <c r="CX46" s="1008"/>
      <c r="CY46" s="1008"/>
      <c r="CZ46" s="1008"/>
      <c r="DA46" s="1008"/>
      <c r="DB46" s="1008"/>
      <c r="DC46" s="1008"/>
      <c r="DD46" s="1008"/>
      <c r="DE46" s="1008"/>
      <c r="DF46" s="1008"/>
      <c r="DG46" s="1008"/>
      <c r="DH46" s="1008">
        <f>+'[18]OCTUBRE 2015'!$H$1804</f>
        <v>6992750</v>
      </c>
      <c r="DI46" s="1011">
        <f t="shared" si="15"/>
        <v>0.12590625</v>
      </c>
      <c r="DJ46" s="1008">
        <f t="shared" si="43"/>
        <v>1007250</v>
      </c>
      <c r="DK46" s="1008"/>
      <c r="DL46" s="1008"/>
      <c r="DM46" s="1008"/>
      <c r="DN46" s="1008">
        <f t="shared" si="51"/>
        <v>0</v>
      </c>
      <c r="DO46" s="1008"/>
      <c r="DP46" s="1008">
        <f t="shared" si="45"/>
        <v>0</v>
      </c>
      <c r="DQ46" s="1008">
        <f t="shared" si="45"/>
        <v>0</v>
      </c>
      <c r="DR46" s="1008"/>
      <c r="DS46" s="1008">
        <f t="shared" si="46"/>
        <v>0</v>
      </c>
      <c r="DT46" s="1008">
        <f t="shared" si="46"/>
        <v>0</v>
      </c>
      <c r="DU46" s="1008"/>
      <c r="DV46" s="1008">
        <f t="shared" si="47"/>
        <v>0</v>
      </c>
      <c r="DW46" s="1008">
        <f t="shared" si="47"/>
        <v>0</v>
      </c>
      <c r="DX46" s="1008">
        <f t="shared" si="47"/>
        <v>0</v>
      </c>
      <c r="DY46" s="1008">
        <f t="shared" si="48"/>
        <v>0</v>
      </c>
      <c r="DZ46" s="1008">
        <f t="shared" si="48"/>
        <v>0</v>
      </c>
      <c r="EA46" s="1008">
        <f t="shared" si="48"/>
        <v>0</v>
      </c>
      <c r="EB46" s="1008">
        <f t="shared" si="48"/>
        <v>0</v>
      </c>
      <c r="EC46" s="1008"/>
      <c r="ED46" s="1008">
        <f t="shared" si="49"/>
        <v>1007250</v>
      </c>
    </row>
    <row r="47" spans="1:134" ht="51" customHeight="1" x14ac:dyDescent="0.25">
      <c r="A47" s="1562"/>
      <c r="B47" s="1019"/>
      <c r="C47" s="1094" t="s">
        <v>4379</v>
      </c>
      <c r="D47" s="1019" t="s">
        <v>4323</v>
      </c>
      <c r="E47" s="1020">
        <v>410</v>
      </c>
      <c r="F47" s="1097" t="s">
        <v>3350</v>
      </c>
      <c r="G47" s="1401"/>
      <c r="H47" s="1061">
        <f t="shared" si="31"/>
        <v>115610666</v>
      </c>
      <c r="I47" s="1061">
        <f t="shared" si="32"/>
        <v>30389334</v>
      </c>
      <c r="J47" s="1097" t="s">
        <v>4825</v>
      </c>
      <c r="K47" s="1093" t="s">
        <v>4825</v>
      </c>
      <c r="L47" s="1093" t="s">
        <v>4825</v>
      </c>
      <c r="M47" s="1093">
        <v>67</v>
      </c>
      <c r="N47" s="1093">
        <v>500</v>
      </c>
      <c r="O47" s="1093">
        <v>337</v>
      </c>
      <c r="P47" s="1109">
        <v>94</v>
      </c>
      <c r="Q47" s="1109">
        <v>650</v>
      </c>
      <c r="R47" s="1109">
        <v>613</v>
      </c>
      <c r="S47" s="1097"/>
      <c r="T47" s="1097"/>
      <c r="U47" s="1097"/>
      <c r="V47" s="1097"/>
      <c r="W47" s="1097"/>
      <c r="X47" s="1097"/>
      <c r="Y47" s="1008">
        <f t="shared" si="33"/>
        <v>146000000</v>
      </c>
      <c r="Z47" s="1008"/>
      <c r="AA47" s="1008">
        <f>98670877-98670877</f>
        <v>0</v>
      </c>
      <c r="AB47" s="1008">
        <v>98670877</v>
      </c>
      <c r="AC47" s="1008"/>
      <c r="AD47" s="1008"/>
      <c r="AE47" s="1008"/>
      <c r="AF47" s="1008"/>
      <c r="AG47" s="1008"/>
      <c r="AH47" s="1008"/>
      <c r="AI47" s="1008"/>
      <c r="AJ47" s="1008"/>
      <c r="AK47" s="1008"/>
      <c r="AL47" s="1008"/>
      <c r="AM47" s="1008">
        <f>57329123-10000000</f>
        <v>47329123</v>
      </c>
      <c r="AN47" s="1008"/>
      <c r="AO47" s="1008"/>
      <c r="AP47" s="1008"/>
      <c r="AQ47" s="1008"/>
      <c r="AR47" s="1008"/>
      <c r="AS47" s="1008"/>
      <c r="AU47" s="1011">
        <f t="shared" si="3"/>
        <v>0.81301369863013695</v>
      </c>
      <c r="AV47" s="1008">
        <f t="shared" si="34"/>
        <v>118700000</v>
      </c>
      <c r="AW47" s="1008"/>
      <c r="AX47" s="1008"/>
      <c r="AY47" s="1008">
        <f>+'[18]OCTUBRE 2015'!$L$1822</f>
        <v>71370877</v>
      </c>
      <c r="AZ47" s="1008"/>
      <c r="BA47" s="1008"/>
      <c r="BB47" s="1008"/>
      <c r="BC47" s="1008"/>
      <c r="BD47" s="1008"/>
      <c r="BE47" s="1008"/>
      <c r="BF47" s="1008"/>
      <c r="BG47" s="1008"/>
      <c r="BH47" s="1008"/>
      <c r="BI47" s="1008"/>
      <c r="BJ47" s="1008">
        <f>+'[10]MARZO 2015'!$V$700-10000000</f>
        <v>47329123</v>
      </c>
      <c r="BK47" s="1008"/>
      <c r="BL47" s="1008"/>
      <c r="BM47" s="1008"/>
      <c r="BN47" s="1008"/>
      <c r="BO47" s="1008"/>
      <c r="BP47" s="1008"/>
      <c r="BQ47" s="1011">
        <f t="shared" si="25"/>
        <v>0.18698630136986305</v>
      </c>
      <c r="BR47" s="1008">
        <f t="shared" si="35"/>
        <v>27300000</v>
      </c>
      <c r="BS47" s="1008">
        <f t="shared" si="36"/>
        <v>0</v>
      </c>
      <c r="BT47" s="1008">
        <f t="shared" ref="BT47:BV62" si="52">AA47-AX47</f>
        <v>0</v>
      </c>
      <c r="BU47" s="1008">
        <f t="shared" si="37"/>
        <v>27300000</v>
      </c>
      <c r="BV47" s="1008">
        <f t="shared" si="37"/>
        <v>0</v>
      </c>
      <c r="BW47" s="1008"/>
      <c r="BX47" s="1008">
        <f t="shared" si="38"/>
        <v>0</v>
      </c>
      <c r="BY47" s="1008">
        <f t="shared" si="38"/>
        <v>0</v>
      </c>
      <c r="BZ47" s="1008"/>
      <c r="CA47" s="1008">
        <f t="shared" si="50"/>
        <v>0</v>
      </c>
      <c r="CB47" s="1008">
        <f t="shared" si="50"/>
        <v>0</v>
      </c>
      <c r="CC47" s="1008">
        <f t="shared" si="50"/>
        <v>0</v>
      </c>
      <c r="CD47" s="1008">
        <f t="shared" si="40"/>
        <v>0</v>
      </c>
      <c r="CE47" s="1008">
        <f t="shared" si="40"/>
        <v>0</v>
      </c>
      <c r="CF47" s="1008">
        <f t="shared" si="40"/>
        <v>0</v>
      </c>
      <c r="CG47" s="1008">
        <f t="shared" si="40"/>
        <v>0</v>
      </c>
      <c r="CH47" s="1008">
        <f t="shared" si="40"/>
        <v>0</v>
      </c>
      <c r="CI47" s="1008">
        <f t="shared" si="40"/>
        <v>0</v>
      </c>
      <c r="CJ47" s="1008"/>
      <c r="CK47" s="1008"/>
      <c r="CL47" s="1008">
        <f t="shared" si="41"/>
        <v>0</v>
      </c>
      <c r="CM47" s="1011">
        <f t="shared" si="13"/>
        <v>0.79185387671232876</v>
      </c>
      <c r="CN47" s="1008">
        <f t="shared" si="42"/>
        <v>115610666</v>
      </c>
      <c r="CO47" s="1008"/>
      <c r="CP47" s="1008"/>
      <c r="CQ47" s="1008">
        <f>+'[18]OCTUBRE 2015'!$H$1823</f>
        <v>71370877</v>
      </c>
      <c r="CR47" s="1008"/>
      <c r="CS47" s="1008"/>
      <c r="CT47" s="1008"/>
      <c r="CU47" s="1008"/>
      <c r="CV47" s="1008"/>
      <c r="CW47" s="1008"/>
      <c r="CX47" s="1008"/>
      <c r="CY47" s="1008"/>
      <c r="CZ47" s="1008"/>
      <c r="DA47" s="1008"/>
      <c r="DB47" s="1008">
        <f>+'[18]OCTUBRE 2015'!$H$1833</f>
        <v>44239789</v>
      </c>
      <c r="DC47" s="1008"/>
      <c r="DD47" s="1008"/>
      <c r="DE47" s="1008"/>
      <c r="DF47" s="1008"/>
      <c r="DG47" s="1008"/>
      <c r="DH47" s="1008"/>
      <c r="DI47" s="1011">
        <f t="shared" si="15"/>
        <v>0.20814612328767124</v>
      </c>
      <c r="DJ47" s="1008">
        <f t="shared" si="43"/>
        <v>30389334</v>
      </c>
      <c r="DK47" s="1008"/>
      <c r="DL47" s="1008">
        <f t="shared" ref="DL47:DM49" si="53">AA47-CP47</f>
        <v>0</v>
      </c>
      <c r="DM47" s="1008">
        <f t="shared" si="53"/>
        <v>27300000</v>
      </c>
      <c r="DN47" s="1008">
        <f t="shared" si="51"/>
        <v>0</v>
      </c>
      <c r="DO47" s="1008"/>
      <c r="DP47" s="1008">
        <f t="shared" si="45"/>
        <v>0</v>
      </c>
      <c r="DQ47" s="1008">
        <f t="shared" si="45"/>
        <v>0</v>
      </c>
      <c r="DR47" s="1008"/>
      <c r="DS47" s="1008">
        <f t="shared" si="46"/>
        <v>0</v>
      </c>
      <c r="DT47" s="1008">
        <f t="shared" si="46"/>
        <v>0</v>
      </c>
      <c r="DU47" s="1008"/>
      <c r="DV47" s="1008">
        <f t="shared" si="47"/>
        <v>0</v>
      </c>
      <c r="DW47" s="1008">
        <f t="shared" si="47"/>
        <v>0</v>
      </c>
      <c r="DX47" s="1008">
        <f t="shared" si="47"/>
        <v>3089334</v>
      </c>
      <c r="DY47" s="1008">
        <f t="shared" si="48"/>
        <v>0</v>
      </c>
      <c r="DZ47" s="1008">
        <f t="shared" si="48"/>
        <v>0</v>
      </c>
      <c r="EA47" s="1008">
        <f t="shared" si="48"/>
        <v>0</v>
      </c>
      <c r="EB47" s="1008">
        <f t="shared" si="48"/>
        <v>0</v>
      </c>
      <c r="EC47" s="1008"/>
      <c r="ED47" s="1008">
        <f t="shared" si="49"/>
        <v>0</v>
      </c>
    </row>
    <row r="48" spans="1:134" ht="35.25" customHeight="1" x14ac:dyDescent="0.25">
      <c r="A48" s="1562"/>
      <c r="B48" s="1019" t="s">
        <v>4310</v>
      </c>
      <c r="C48" s="1094" t="s">
        <v>4380</v>
      </c>
      <c r="D48" s="1019" t="s">
        <v>4608</v>
      </c>
      <c r="E48" s="1020">
        <v>410</v>
      </c>
      <c r="F48" s="1097" t="s">
        <v>3350</v>
      </c>
      <c r="G48" s="1399">
        <v>1150000000</v>
      </c>
      <c r="H48" s="1061">
        <f t="shared" si="31"/>
        <v>510077537</v>
      </c>
      <c r="I48" s="1061">
        <f t="shared" si="32"/>
        <v>104803463</v>
      </c>
      <c r="J48" s="1399" t="s">
        <v>4811</v>
      </c>
      <c r="K48" s="1283" t="s">
        <v>4812</v>
      </c>
      <c r="L48" s="1283" t="s">
        <v>4818</v>
      </c>
      <c r="M48" s="1093">
        <v>6</v>
      </c>
      <c r="N48" s="1093">
        <v>112</v>
      </c>
      <c r="O48" s="1093">
        <v>7</v>
      </c>
      <c r="P48" s="1093">
        <v>42</v>
      </c>
      <c r="Q48" s="1093">
        <v>132</v>
      </c>
      <c r="R48" s="1093">
        <v>55</v>
      </c>
      <c r="S48" s="1097"/>
      <c r="T48" s="1097"/>
      <c r="U48" s="1097"/>
      <c r="V48" s="1097"/>
      <c r="W48" s="1097"/>
      <c r="X48" s="1097"/>
      <c r="Y48" s="1052">
        <f t="shared" si="33"/>
        <v>614881000</v>
      </c>
      <c r="Z48" s="944"/>
      <c r="AA48" s="1008">
        <f>420000000-415119000</f>
        <v>4881000</v>
      </c>
      <c r="AB48" s="1008"/>
      <c r="AC48" s="1008"/>
      <c r="AD48" s="1008"/>
      <c r="AE48" s="1008">
        <f>30000000+30000000+10000000+20000000</f>
        <v>90000000</v>
      </c>
      <c r="AF48" s="1008">
        <f>5000000+10000000</f>
        <v>15000000</v>
      </c>
      <c r="AG48" s="1008">
        <v>102810569</v>
      </c>
      <c r="AH48" s="1008">
        <v>219471348</v>
      </c>
      <c r="AI48" s="1008"/>
      <c r="AJ48" s="1008"/>
      <c r="AK48" s="1008"/>
      <c r="AL48" s="1008"/>
      <c r="AM48" s="1008">
        <f>10000000</f>
        <v>10000000</v>
      </c>
      <c r="AN48" s="1008">
        <f>82718083+10000000+20000000+10000000</f>
        <v>122718083</v>
      </c>
      <c r="AO48" s="1008">
        <f>30000000+10000000+10000000</f>
        <v>50000000</v>
      </c>
      <c r="AP48" s="1008"/>
      <c r="AQ48" s="1008"/>
      <c r="AR48" s="1008"/>
      <c r="AS48" s="1008"/>
      <c r="AU48" s="1011">
        <f t="shared" si="3"/>
        <v>1</v>
      </c>
      <c r="AV48" s="1008">
        <f t="shared" si="34"/>
        <v>614881000</v>
      </c>
      <c r="AW48" s="1008"/>
      <c r="AX48" s="1008">
        <f>+'[14]JUNIO 2015'!$K$1062</f>
        <v>4881000</v>
      </c>
      <c r="AY48" s="1008"/>
      <c r="AZ48" s="1008"/>
      <c r="BA48" s="1008"/>
      <c r="BB48" s="1008">
        <f>+'[14]JUNIO 2015'!$O$1062</f>
        <v>90000000</v>
      </c>
      <c r="BC48" s="1008">
        <f>+'[14]JUNIO 2015'!$P$1062</f>
        <v>15000000</v>
      </c>
      <c r="BD48" s="1008">
        <f>+'[8]FEBRERO 2015'!$P$585</f>
        <v>102810569</v>
      </c>
      <c r="BE48" s="1008">
        <f>+'[8]FEBRERO 2015'!$Q$585</f>
        <v>219471348</v>
      </c>
      <c r="BF48" s="1008"/>
      <c r="BG48" s="1008"/>
      <c r="BH48" s="1008"/>
      <c r="BI48" s="1008"/>
      <c r="BJ48" s="1008">
        <f>+'[14]JUNIO 2015'!$W$1062</f>
        <v>10000000</v>
      </c>
      <c r="BK48" s="1008">
        <f>+'[14]JUNIO 2015'!$X$1062</f>
        <v>122718083</v>
      </c>
      <c r="BL48" s="1008">
        <f>+'[14]JUNIO 2015'!$Y$1062</f>
        <v>50000000</v>
      </c>
      <c r="BM48" s="1008"/>
      <c r="BN48" s="1008"/>
      <c r="BO48" s="1008"/>
      <c r="BP48" s="1008"/>
      <c r="BQ48" s="1011">
        <f t="shared" si="25"/>
        <v>0</v>
      </c>
      <c r="BR48" s="1008">
        <f t="shared" si="35"/>
        <v>0</v>
      </c>
      <c r="BS48" s="1008">
        <f t="shared" si="36"/>
        <v>0</v>
      </c>
      <c r="BT48" s="1008">
        <f t="shared" si="52"/>
        <v>0</v>
      </c>
      <c r="BU48" s="1008">
        <f t="shared" si="37"/>
        <v>0</v>
      </c>
      <c r="BV48" s="1008">
        <f t="shared" si="37"/>
        <v>0</v>
      </c>
      <c r="BW48" s="1008"/>
      <c r="BX48" s="1008">
        <f t="shared" si="38"/>
        <v>0</v>
      </c>
      <c r="BY48" s="1008">
        <f t="shared" si="38"/>
        <v>0</v>
      </c>
      <c r="BZ48" s="1008">
        <f>+AG48-BD48</f>
        <v>0</v>
      </c>
      <c r="CA48" s="1008">
        <f t="shared" si="50"/>
        <v>0</v>
      </c>
      <c r="CB48" s="1008">
        <f t="shared" si="50"/>
        <v>0</v>
      </c>
      <c r="CC48" s="1008">
        <f t="shared" si="50"/>
        <v>0</v>
      </c>
      <c r="CD48" s="1008">
        <f t="shared" si="40"/>
        <v>0</v>
      </c>
      <c r="CE48" s="1008">
        <f t="shared" si="40"/>
        <v>0</v>
      </c>
      <c r="CF48" s="1008">
        <f t="shared" si="40"/>
        <v>0</v>
      </c>
      <c r="CG48" s="1008">
        <f t="shared" si="40"/>
        <v>0</v>
      </c>
      <c r="CH48" s="1008">
        <f t="shared" si="40"/>
        <v>0</v>
      </c>
      <c r="CI48" s="1008">
        <f t="shared" si="40"/>
        <v>0</v>
      </c>
      <c r="CJ48" s="1008"/>
      <c r="CK48" s="1008"/>
      <c r="CL48" s="1008">
        <f t="shared" si="41"/>
        <v>0</v>
      </c>
      <c r="CM48" s="1011">
        <f t="shared" si="13"/>
        <v>0.82955488460368754</v>
      </c>
      <c r="CN48" s="1008">
        <f t="shared" si="42"/>
        <v>510077537</v>
      </c>
      <c r="CO48" s="1008"/>
      <c r="CP48" s="1008">
        <f>+'[16]AGOSTO 2015'!$H$1429+'[16]AGOSTO 2015'!$H$1430</f>
        <v>4881000</v>
      </c>
      <c r="CQ48" s="1008"/>
      <c r="CR48" s="1008"/>
      <c r="CS48" s="1008"/>
      <c r="CT48" s="1008">
        <f>+'[18]OCTUBRE 2015'!$H$1951</f>
        <v>87185148</v>
      </c>
      <c r="CU48" s="1008">
        <f>+'[17]SEPTIEMBRE 2015'!$H$1790</f>
        <v>15000000</v>
      </c>
      <c r="CV48" s="1008">
        <f>+'[14]JUNIO 2015'!$H$1093</f>
        <v>102810569</v>
      </c>
      <c r="CW48" s="1008">
        <f>+'[17]SEPTIEMBRE 2015'!$H$1680</f>
        <v>129471348</v>
      </c>
      <c r="CX48" s="1008"/>
      <c r="CY48" s="1008"/>
      <c r="CZ48" s="1008"/>
      <c r="DA48" s="1008"/>
      <c r="DB48" s="1008">
        <f>+'[18]OCTUBRE 2015'!$H$2005</f>
        <v>10000000</v>
      </c>
      <c r="DC48" s="1008">
        <f>+'[18]OCTUBRE 2015'!$H$1848+'[18]OCTUBRE 2015'!$H$1989</f>
        <v>110729472</v>
      </c>
      <c r="DD48" s="1008">
        <f>+'[18]OCTUBRE 2015'!$H$2010</f>
        <v>50000000</v>
      </c>
      <c r="DE48" s="1008"/>
      <c r="DF48" s="1008"/>
      <c r="DG48" s="1008"/>
      <c r="DH48" s="1008"/>
      <c r="DI48" s="1011">
        <f t="shared" si="15"/>
        <v>0.17044511539631246</v>
      </c>
      <c r="DJ48" s="1008">
        <f t="shared" si="43"/>
        <v>104803463</v>
      </c>
      <c r="DK48" s="1008"/>
      <c r="DL48" s="1008">
        <f t="shared" si="53"/>
        <v>0</v>
      </c>
      <c r="DM48" s="1008">
        <f t="shared" si="53"/>
        <v>0</v>
      </c>
      <c r="DN48" s="1008">
        <f t="shared" si="51"/>
        <v>0</v>
      </c>
      <c r="DO48" s="1008"/>
      <c r="DP48" s="1008">
        <f t="shared" si="45"/>
        <v>2814852</v>
      </c>
      <c r="DQ48" s="1008">
        <f t="shared" si="45"/>
        <v>0</v>
      </c>
      <c r="DR48" s="1008">
        <f>AG48-CV48</f>
        <v>0</v>
      </c>
      <c r="DS48" s="1008">
        <f t="shared" si="46"/>
        <v>90000000</v>
      </c>
      <c r="DT48" s="1008">
        <f t="shared" si="46"/>
        <v>0</v>
      </c>
      <c r="DU48" s="1008"/>
      <c r="DV48" s="1008">
        <f t="shared" si="47"/>
        <v>0</v>
      </c>
      <c r="DW48" s="1008">
        <f t="shared" si="47"/>
        <v>0</v>
      </c>
      <c r="DX48" s="1008">
        <f t="shared" si="47"/>
        <v>0</v>
      </c>
      <c r="DY48" s="1008">
        <f t="shared" si="48"/>
        <v>11988611</v>
      </c>
      <c r="DZ48" s="1008">
        <f t="shared" si="48"/>
        <v>0</v>
      </c>
      <c r="EA48" s="1008">
        <f t="shared" si="48"/>
        <v>0</v>
      </c>
      <c r="EB48" s="1008">
        <f t="shared" si="48"/>
        <v>0</v>
      </c>
      <c r="EC48" s="1008"/>
      <c r="ED48" s="1008">
        <f t="shared" si="49"/>
        <v>0</v>
      </c>
    </row>
    <row r="49" spans="1:135" ht="33.75" customHeight="1" x14ac:dyDescent="0.25">
      <c r="A49" s="1562"/>
      <c r="B49" s="1019"/>
      <c r="C49" s="1094" t="s">
        <v>4381</v>
      </c>
      <c r="D49" s="1019" t="s">
        <v>4609</v>
      </c>
      <c r="E49" s="1020">
        <v>410</v>
      </c>
      <c r="F49" s="1097" t="s">
        <v>3350</v>
      </c>
      <c r="G49" s="1400"/>
      <c r="H49" s="1061">
        <f t="shared" si="31"/>
        <v>14050000</v>
      </c>
      <c r="I49" s="1061">
        <f t="shared" si="32"/>
        <v>5950000</v>
      </c>
      <c r="J49" s="1401"/>
      <c r="K49" s="1284"/>
      <c r="L49" s="1284"/>
      <c r="M49" s="1093">
        <v>93</v>
      </c>
      <c r="N49" s="1093">
        <v>100</v>
      </c>
      <c r="O49" s="1093">
        <v>93</v>
      </c>
      <c r="P49" s="1093">
        <v>93</v>
      </c>
      <c r="Q49" s="1093">
        <v>100</v>
      </c>
      <c r="R49" s="1093">
        <v>93</v>
      </c>
      <c r="S49" s="1097"/>
      <c r="T49" s="1097"/>
      <c r="U49" s="1097"/>
      <c r="V49" s="1097"/>
      <c r="W49" s="1097"/>
      <c r="X49" s="1097"/>
      <c r="Y49" s="1008">
        <f t="shared" si="33"/>
        <v>20000000</v>
      </c>
      <c r="Z49" s="944"/>
      <c r="AA49" s="1008">
        <f>20000000-18055657-1450000</f>
        <v>494343</v>
      </c>
      <c r="AB49" s="1008">
        <v>18055657</v>
      </c>
      <c r="AC49" s="1008"/>
      <c r="AD49" s="1008"/>
      <c r="AE49" s="1008"/>
      <c r="AF49" s="1008"/>
      <c r="AG49" s="1008"/>
      <c r="AH49" s="1008"/>
      <c r="AI49" s="1008"/>
      <c r="AJ49" s="1008"/>
      <c r="AK49" s="1008"/>
      <c r="AL49" s="1008"/>
      <c r="AM49" s="1008"/>
      <c r="AN49" s="1008"/>
      <c r="AO49" s="1008">
        <v>1450000</v>
      </c>
      <c r="AP49" s="1008"/>
      <c r="AQ49" s="1008"/>
      <c r="AR49" s="1008"/>
      <c r="AS49" s="1008"/>
      <c r="AU49" s="1011">
        <f t="shared" si="3"/>
        <v>0.77500000000000002</v>
      </c>
      <c r="AV49" s="1008">
        <f t="shared" si="34"/>
        <v>15500000</v>
      </c>
      <c r="AW49" s="1008"/>
      <c r="AX49" s="1008">
        <v>494343</v>
      </c>
      <c r="AY49" s="1008">
        <f>+'[18]OCTUBRE 2015'!$L$2052</f>
        <v>13555657</v>
      </c>
      <c r="AZ49" s="1008"/>
      <c r="BA49" s="1008"/>
      <c r="BB49" s="1008"/>
      <c r="BC49" s="1008"/>
      <c r="BD49" s="1008"/>
      <c r="BE49" s="1008"/>
      <c r="BF49" s="1008"/>
      <c r="BG49" s="1008"/>
      <c r="BH49" s="1008"/>
      <c r="BI49" s="1008"/>
      <c r="BJ49" s="1008"/>
      <c r="BK49" s="1008"/>
      <c r="BL49" s="1008">
        <f>+'[15]JULIO 2015'!$Y$1386</f>
        <v>1450000</v>
      </c>
      <c r="BM49" s="1008"/>
      <c r="BN49" s="1008"/>
      <c r="BO49" s="1008"/>
      <c r="BP49" s="1008"/>
      <c r="BQ49" s="1011">
        <f t="shared" si="25"/>
        <v>0.22499999999999998</v>
      </c>
      <c r="BR49" s="1008">
        <f t="shared" si="35"/>
        <v>4500000</v>
      </c>
      <c r="BS49" s="1008">
        <f t="shared" si="36"/>
        <v>0</v>
      </c>
      <c r="BT49" s="1008">
        <f t="shared" si="52"/>
        <v>0</v>
      </c>
      <c r="BU49" s="1008">
        <f t="shared" si="37"/>
        <v>4500000</v>
      </c>
      <c r="BV49" s="1008">
        <f t="shared" si="37"/>
        <v>0</v>
      </c>
      <c r="BW49" s="1008"/>
      <c r="BX49" s="1008">
        <f t="shared" si="38"/>
        <v>0</v>
      </c>
      <c r="BY49" s="1008">
        <f t="shared" si="38"/>
        <v>0</v>
      </c>
      <c r="BZ49" s="1008"/>
      <c r="CA49" s="1008"/>
      <c r="CB49" s="1008">
        <f>+AI49-BF49</f>
        <v>0</v>
      </c>
      <c r="CC49" s="1008"/>
      <c r="CD49" s="1008">
        <f t="shared" si="40"/>
        <v>0</v>
      </c>
      <c r="CE49" s="1008">
        <f t="shared" si="40"/>
        <v>0</v>
      </c>
      <c r="CF49" s="1008">
        <f t="shared" si="40"/>
        <v>0</v>
      </c>
      <c r="CG49" s="1008">
        <f t="shared" si="40"/>
        <v>0</v>
      </c>
      <c r="CH49" s="1008">
        <f t="shared" si="40"/>
        <v>0</v>
      </c>
      <c r="CI49" s="1008">
        <f t="shared" si="40"/>
        <v>0</v>
      </c>
      <c r="CJ49" s="1008"/>
      <c r="CK49" s="1008"/>
      <c r="CL49" s="1008">
        <f t="shared" si="41"/>
        <v>0</v>
      </c>
      <c r="CM49" s="1011">
        <f t="shared" si="13"/>
        <v>0.70250000000000001</v>
      </c>
      <c r="CN49" s="1008">
        <f t="shared" si="42"/>
        <v>14050000</v>
      </c>
      <c r="CO49" s="1008"/>
      <c r="CP49" s="1008">
        <f>20000000-18055657-1450000</f>
        <v>494343</v>
      </c>
      <c r="CQ49" s="1008">
        <f>+'[18]OCTUBRE 2015'!$L$2053</f>
        <v>13555657</v>
      </c>
      <c r="CR49" s="1008"/>
      <c r="CS49" s="1008"/>
      <c r="CT49" s="1008"/>
      <c r="CU49" s="1008"/>
      <c r="CV49" s="1008"/>
      <c r="CW49" s="1008"/>
      <c r="CX49" s="1008"/>
      <c r="CY49" s="1008"/>
      <c r="CZ49" s="1008"/>
      <c r="DA49" s="1008"/>
      <c r="DB49" s="1008"/>
      <c r="DC49" s="1008"/>
      <c r="DD49" s="1008"/>
      <c r="DE49" s="1008"/>
      <c r="DF49" s="1008"/>
      <c r="DG49" s="1008"/>
      <c r="DH49" s="1008"/>
      <c r="DI49" s="1011">
        <f t="shared" si="15"/>
        <v>0.29749999999999999</v>
      </c>
      <c r="DJ49" s="1008">
        <f t="shared" si="43"/>
        <v>5950000</v>
      </c>
      <c r="DK49" s="1008"/>
      <c r="DL49" s="1008">
        <f t="shared" si="53"/>
        <v>0</v>
      </c>
      <c r="DM49" s="1008">
        <f t="shared" si="53"/>
        <v>4500000</v>
      </c>
      <c r="DN49" s="1008">
        <f t="shared" si="51"/>
        <v>0</v>
      </c>
      <c r="DO49" s="1008"/>
      <c r="DP49" s="1008">
        <f t="shared" si="45"/>
        <v>0</v>
      </c>
      <c r="DQ49" s="1008">
        <f t="shared" si="45"/>
        <v>0</v>
      </c>
      <c r="DR49" s="1008"/>
      <c r="DS49" s="1008">
        <f t="shared" si="46"/>
        <v>0</v>
      </c>
      <c r="DT49" s="1008">
        <f t="shared" si="46"/>
        <v>0</v>
      </c>
      <c r="DU49" s="1008"/>
      <c r="DV49" s="1008">
        <f t="shared" si="47"/>
        <v>0</v>
      </c>
      <c r="DW49" s="1008">
        <f t="shared" si="47"/>
        <v>0</v>
      </c>
      <c r="DX49" s="1008">
        <f t="shared" si="47"/>
        <v>0</v>
      </c>
      <c r="DY49" s="1008">
        <f t="shared" si="48"/>
        <v>0</v>
      </c>
      <c r="DZ49" s="1008">
        <f t="shared" si="48"/>
        <v>1450000</v>
      </c>
      <c r="EA49" s="1008">
        <f t="shared" si="48"/>
        <v>0</v>
      </c>
      <c r="EB49" s="1008">
        <f t="shared" si="48"/>
        <v>0</v>
      </c>
      <c r="EC49" s="1008"/>
      <c r="ED49" s="1008">
        <f t="shared" si="49"/>
        <v>0</v>
      </c>
    </row>
    <row r="50" spans="1:135" ht="39.75" customHeight="1" x14ac:dyDescent="0.25">
      <c r="A50" s="1562"/>
      <c r="B50" s="1019"/>
      <c r="C50" s="1094" t="s">
        <v>4382</v>
      </c>
      <c r="D50" s="1019" t="s">
        <v>4311</v>
      </c>
      <c r="E50" s="1020">
        <v>410</v>
      </c>
      <c r="F50" s="1097" t="s">
        <v>4704</v>
      </c>
      <c r="G50" s="1400"/>
      <c r="H50" s="1061">
        <f t="shared" si="31"/>
        <v>19373471</v>
      </c>
      <c r="I50" s="1061">
        <f t="shared" si="32"/>
        <v>12126529</v>
      </c>
      <c r="J50" s="1399" t="s">
        <v>4813</v>
      </c>
      <c r="K50" s="1283" t="s">
        <v>4814</v>
      </c>
      <c r="L50" s="1283" t="s">
        <v>4813</v>
      </c>
      <c r="M50" s="1093">
        <v>0</v>
      </c>
      <c r="N50" s="1093">
        <v>0</v>
      </c>
      <c r="O50" s="1093">
        <v>0</v>
      </c>
      <c r="P50" s="1093">
        <v>8</v>
      </c>
      <c r="Q50" s="1093">
        <v>0</v>
      </c>
      <c r="R50" s="1093">
        <v>0</v>
      </c>
      <c r="S50" s="1097"/>
      <c r="T50" s="1097"/>
      <c r="U50" s="1097"/>
      <c r="V50" s="1097"/>
      <c r="W50" s="1097"/>
      <c r="X50" s="1097"/>
      <c r="Y50" s="1008">
        <f t="shared" si="33"/>
        <v>31500000</v>
      </c>
      <c r="Z50" s="944"/>
      <c r="AA50" s="1008"/>
      <c r="AB50" s="1008"/>
      <c r="AC50" s="1008"/>
      <c r="AD50" s="1008"/>
      <c r="AE50" s="1008"/>
      <c r="AF50" s="1008"/>
      <c r="AG50" s="1008"/>
      <c r="AH50" s="1008"/>
      <c r="AI50" s="1008"/>
      <c r="AJ50" s="1008"/>
      <c r="AK50" s="1008"/>
      <c r="AL50" s="1008"/>
      <c r="AM50" s="1008"/>
      <c r="AN50" s="1008">
        <f>14000000-10000000</f>
        <v>4000000</v>
      </c>
      <c r="AO50" s="1008"/>
      <c r="AP50" s="1008"/>
      <c r="AQ50" s="1008"/>
      <c r="AR50" s="1008"/>
      <c r="AS50" s="1008">
        <f>5000000+2500000+5000000+15000000</f>
        <v>27500000</v>
      </c>
      <c r="AU50" s="1011">
        <f t="shared" si="3"/>
        <v>0.69774511111111115</v>
      </c>
      <c r="AV50" s="1008">
        <f t="shared" si="34"/>
        <v>21978971</v>
      </c>
      <c r="AW50" s="1008"/>
      <c r="AX50" s="1008"/>
      <c r="AY50" s="1008"/>
      <c r="AZ50" s="1008"/>
      <c r="BA50" s="1008"/>
      <c r="BB50" s="1008"/>
      <c r="BC50" s="1008"/>
      <c r="BD50" s="1008"/>
      <c r="BE50" s="1008"/>
      <c r="BF50" s="1008"/>
      <c r="BG50" s="1008"/>
      <c r="BH50" s="1008"/>
      <c r="BI50" s="1008"/>
      <c r="BJ50" s="1008"/>
      <c r="BK50" s="1008">
        <v>4000000</v>
      </c>
      <c r="BL50" s="1008"/>
      <c r="BM50" s="1008"/>
      <c r="BN50" s="1008"/>
      <c r="BO50" s="1008"/>
      <c r="BP50" s="1008">
        <f>+'[18]OCTUBRE 2015'!$AD$2060</f>
        <v>17978971</v>
      </c>
      <c r="BQ50" s="1011">
        <f t="shared" si="25"/>
        <v>0.30225488888888885</v>
      </c>
      <c r="BR50" s="1008">
        <f t="shared" si="35"/>
        <v>9521029</v>
      </c>
      <c r="BS50" s="1008">
        <f t="shared" si="36"/>
        <v>0</v>
      </c>
      <c r="BT50" s="1008">
        <f t="shared" si="52"/>
        <v>0</v>
      </c>
      <c r="BU50" s="1008">
        <f t="shared" si="37"/>
        <v>0</v>
      </c>
      <c r="BV50" s="1008">
        <f t="shared" si="37"/>
        <v>0</v>
      </c>
      <c r="BW50" s="1008"/>
      <c r="BX50" s="1008">
        <f t="shared" si="38"/>
        <v>0</v>
      </c>
      <c r="BY50" s="1008">
        <f t="shared" si="38"/>
        <v>0</v>
      </c>
      <c r="BZ50" s="1008"/>
      <c r="CA50" s="1008"/>
      <c r="CB50" s="1008">
        <f>+AI50-BF50</f>
        <v>0</v>
      </c>
      <c r="CC50" s="1008"/>
      <c r="CD50" s="1008">
        <f t="shared" si="40"/>
        <v>0</v>
      </c>
      <c r="CE50" s="1008">
        <f t="shared" si="40"/>
        <v>0</v>
      </c>
      <c r="CF50" s="1008">
        <f t="shared" si="40"/>
        <v>0</v>
      </c>
      <c r="CG50" s="1008">
        <f t="shared" si="40"/>
        <v>0</v>
      </c>
      <c r="CH50" s="1008">
        <f t="shared" si="40"/>
        <v>0</v>
      </c>
      <c r="CI50" s="1008">
        <f t="shared" si="40"/>
        <v>0</v>
      </c>
      <c r="CJ50" s="1008"/>
      <c r="CK50" s="1008"/>
      <c r="CL50" s="1008">
        <f t="shared" si="41"/>
        <v>9521029</v>
      </c>
      <c r="CM50" s="1011">
        <f t="shared" si="13"/>
        <v>0.61503082539682541</v>
      </c>
      <c r="CN50" s="1008">
        <f t="shared" si="42"/>
        <v>19373471</v>
      </c>
      <c r="CO50" s="1008"/>
      <c r="CP50" s="1008"/>
      <c r="CQ50" s="1008"/>
      <c r="CR50" s="1008"/>
      <c r="CS50" s="1008"/>
      <c r="CT50" s="1008"/>
      <c r="CU50" s="1008"/>
      <c r="CV50" s="1008"/>
      <c r="CW50" s="1008"/>
      <c r="CX50" s="1008"/>
      <c r="CY50" s="1008"/>
      <c r="CZ50" s="1008"/>
      <c r="DA50" s="1008"/>
      <c r="DB50" s="1008"/>
      <c r="DC50" s="1008">
        <f>+'[15]JULIO 2015'!$H$1401</f>
        <v>4000000</v>
      </c>
      <c r="DD50" s="1008"/>
      <c r="DE50" s="1008"/>
      <c r="DF50" s="1008"/>
      <c r="DG50" s="1008"/>
      <c r="DH50" s="1008">
        <f>+'[18]OCTUBRE 2015'!$H$2058-DC50</f>
        <v>15373471</v>
      </c>
      <c r="DI50" s="1011">
        <f t="shared" si="15"/>
        <v>0.38496917460317459</v>
      </c>
      <c r="DJ50" s="1008">
        <f t="shared" si="43"/>
        <v>12126529</v>
      </c>
      <c r="DK50" s="1008"/>
      <c r="DL50" s="1008"/>
      <c r="DM50" s="1008"/>
      <c r="DN50" s="1008">
        <f t="shared" si="51"/>
        <v>0</v>
      </c>
      <c r="DO50" s="1008"/>
      <c r="DP50" s="1008">
        <f t="shared" si="45"/>
        <v>0</v>
      </c>
      <c r="DQ50" s="1008">
        <f t="shared" si="45"/>
        <v>0</v>
      </c>
      <c r="DR50" s="1008"/>
      <c r="DS50" s="1008">
        <f t="shared" si="46"/>
        <v>0</v>
      </c>
      <c r="DT50" s="1008">
        <f t="shared" si="46"/>
        <v>0</v>
      </c>
      <c r="DU50" s="1008"/>
      <c r="DV50" s="1008">
        <f t="shared" si="47"/>
        <v>0</v>
      </c>
      <c r="DW50" s="1008">
        <f t="shared" si="47"/>
        <v>0</v>
      </c>
      <c r="DX50" s="1008">
        <f t="shared" si="47"/>
        <v>0</v>
      </c>
      <c r="DY50" s="1008">
        <f t="shared" si="48"/>
        <v>0</v>
      </c>
      <c r="DZ50" s="1008">
        <f t="shared" si="48"/>
        <v>0</v>
      </c>
      <c r="EA50" s="1008">
        <f t="shared" si="48"/>
        <v>0</v>
      </c>
      <c r="EB50" s="1008">
        <f t="shared" si="48"/>
        <v>0</v>
      </c>
      <c r="EC50" s="1008"/>
      <c r="ED50" s="1008">
        <f t="shared" si="49"/>
        <v>12126529</v>
      </c>
    </row>
    <row r="51" spans="1:135" ht="32.25" customHeight="1" x14ac:dyDescent="0.25">
      <c r="A51" s="1562"/>
      <c r="B51" s="1019"/>
      <c r="C51" s="1094" t="s">
        <v>4383</v>
      </c>
      <c r="D51" s="1019" t="s">
        <v>4324</v>
      </c>
      <c r="E51" s="1020">
        <v>410</v>
      </c>
      <c r="F51" s="1097" t="s">
        <v>4347</v>
      </c>
      <c r="G51" s="1400"/>
      <c r="H51" s="1061">
        <f t="shared" si="31"/>
        <v>0</v>
      </c>
      <c r="I51" s="1061">
        <f t="shared" si="32"/>
        <v>7000000</v>
      </c>
      <c r="J51" s="1400"/>
      <c r="K51" s="1573"/>
      <c r="L51" s="1573"/>
      <c r="M51" s="1093">
        <v>0</v>
      </c>
      <c r="N51" s="1093">
        <v>0</v>
      </c>
      <c r="O51" s="1093">
        <v>0</v>
      </c>
      <c r="P51" s="1093">
        <v>0</v>
      </c>
      <c r="Q51" s="1093">
        <v>0</v>
      </c>
      <c r="R51" s="1093">
        <v>0</v>
      </c>
      <c r="S51" s="1097"/>
      <c r="T51" s="1097"/>
      <c r="U51" s="1097"/>
      <c r="V51" s="1097"/>
      <c r="W51" s="1097"/>
      <c r="X51" s="1097"/>
      <c r="Y51" s="1008">
        <f t="shared" si="33"/>
        <v>7000000</v>
      </c>
      <c r="Z51" s="944"/>
      <c r="AA51" s="1008"/>
      <c r="AB51" s="1008"/>
      <c r="AC51" s="1008"/>
      <c r="AD51" s="1008"/>
      <c r="AE51" s="1008"/>
      <c r="AF51" s="1008"/>
      <c r="AG51" s="1008"/>
      <c r="AH51" s="1008"/>
      <c r="AI51" s="1008"/>
      <c r="AJ51" s="1008"/>
      <c r="AK51" s="1008"/>
      <c r="AL51" s="1008"/>
      <c r="AM51" s="1008"/>
      <c r="AN51" s="1008"/>
      <c r="AO51" s="1008"/>
      <c r="AP51" s="1008"/>
      <c r="AQ51" s="1008"/>
      <c r="AR51" s="1008"/>
      <c r="AS51" s="1008">
        <f>2000000+5000000</f>
        <v>7000000</v>
      </c>
      <c r="AU51" s="1011">
        <f t="shared" si="3"/>
        <v>0.2857142857142857</v>
      </c>
      <c r="AV51" s="1008">
        <f t="shared" si="34"/>
        <v>2000000</v>
      </c>
      <c r="AW51" s="1008"/>
      <c r="AX51" s="1008"/>
      <c r="AY51" s="1008"/>
      <c r="AZ51" s="1008"/>
      <c r="BA51" s="1008"/>
      <c r="BB51" s="1008"/>
      <c r="BC51" s="1008"/>
      <c r="BD51" s="1008"/>
      <c r="BE51" s="1008"/>
      <c r="BF51" s="1008"/>
      <c r="BG51" s="1008"/>
      <c r="BH51" s="1008"/>
      <c r="BI51" s="1008"/>
      <c r="BJ51" s="1008"/>
      <c r="BK51" s="1008"/>
      <c r="BL51" s="1008"/>
      <c r="BM51" s="1008"/>
      <c r="BN51" s="1008"/>
      <c r="BO51" s="1008"/>
      <c r="BP51" s="1008">
        <f>+'[9]FEBRERO 2015'!$AC$571</f>
        <v>2000000</v>
      </c>
      <c r="BQ51" s="1011">
        <f t="shared" si="25"/>
        <v>0.7142857142857143</v>
      </c>
      <c r="BR51" s="1008">
        <f t="shared" si="35"/>
        <v>5000000</v>
      </c>
      <c r="BS51" s="1008">
        <f t="shared" si="36"/>
        <v>0</v>
      </c>
      <c r="BT51" s="1008">
        <f t="shared" si="52"/>
        <v>0</v>
      </c>
      <c r="BU51" s="1008">
        <f t="shared" si="52"/>
        <v>0</v>
      </c>
      <c r="BV51" s="1008">
        <f t="shared" si="52"/>
        <v>0</v>
      </c>
      <c r="BW51" s="1008"/>
      <c r="BX51" s="1008">
        <f t="shared" si="38"/>
        <v>0</v>
      </c>
      <c r="BY51" s="1008">
        <f t="shared" si="38"/>
        <v>0</v>
      </c>
      <c r="BZ51" s="1008"/>
      <c r="CA51" s="1008"/>
      <c r="CB51" s="1008">
        <f>+AI51-BF51</f>
        <v>0</v>
      </c>
      <c r="CC51" s="1008"/>
      <c r="CD51" s="1008">
        <f t="shared" si="40"/>
        <v>0</v>
      </c>
      <c r="CE51" s="1008">
        <f t="shared" si="40"/>
        <v>0</v>
      </c>
      <c r="CF51" s="1008">
        <f t="shared" si="40"/>
        <v>0</v>
      </c>
      <c r="CG51" s="1008">
        <f t="shared" si="40"/>
        <v>0</v>
      </c>
      <c r="CH51" s="1008">
        <f t="shared" si="40"/>
        <v>0</v>
      </c>
      <c r="CI51" s="1008">
        <f t="shared" si="40"/>
        <v>0</v>
      </c>
      <c r="CJ51" s="1008"/>
      <c r="CK51" s="1008"/>
      <c r="CL51" s="1008">
        <f t="shared" si="41"/>
        <v>5000000</v>
      </c>
      <c r="CM51" s="1011">
        <f t="shared" si="13"/>
        <v>0</v>
      </c>
      <c r="CN51" s="1008">
        <f t="shared" si="42"/>
        <v>0</v>
      </c>
      <c r="CO51" s="1008"/>
      <c r="CP51" s="1008"/>
      <c r="CQ51" s="1008"/>
      <c r="CR51" s="1008"/>
      <c r="CS51" s="1008"/>
      <c r="CT51" s="1008"/>
      <c r="CU51" s="1008"/>
      <c r="CV51" s="1008"/>
      <c r="CW51" s="1008"/>
      <c r="CX51" s="1008"/>
      <c r="CY51" s="1008"/>
      <c r="CZ51" s="1008"/>
      <c r="DA51" s="1008"/>
      <c r="DB51" s="1008"/>
      <c r="DC51" s="1008"/>
      <c r="DD51" s="1008"/>
      <c r="DE51" s="1008"/>
      <c r="DF51" s="1008"/>
      <c r="DG51" s="1008"/>
      <c r="DH51" s="1008"/>
      <c r="DI51" s="1011">
        <f t="shared" si="15"/>
        <v>1</v>
      </c>
      <c r="DJ51" s="1008">
        <f t="shared" si="43"/>
        <v>7000000</v>
      </c>
      <c r="DK51" s="1008"/>
      <c r="DL51" s="1008"/>
      <c r="DM51" s="1008"/>
      <c r="DN51" s="1008">
        <f t="shared" si="51"/>
        <v>0</v>
      </c>
      <c r="DO51" s="1008"/>
      <c r="DP51" s="1008">
        <f t="shared" si="45"/>
        <v>0</v>
      </c>
      <c r="DQ51" s="1008">
        <f t="shared" si="45"/>
        <v>0</v>
      </c>
      <c r="DR51" s="1008"/>
      <c r="DS51" s="1008">
        <f t="shared" si="46"/>
        <v>0</v>
      </c>
      <c r="DT51" s="1008">
        <f t="shared" si="46"/>
        <v>0</v>
      </c>
      <c r="DU51" s="1008"/>
      <c r="DV51" s="1008">
        <f t="shared" si="47"/>
        <v>0</v>
      </c>
      <c r="DW51" s="1008">
        <f t="shared" si="47"/>
        <v>0</v>
      </c>
      <c r="DX51" s="1008">
        <f t="shared" si="47"/>
        <v>0</v>
      </c>
      <c r="DY51" s="1008">
        <f t="shared" si="48"/>
        <v>0</v>
      </c>
      <c r="DZ51" s="1008">
        <f t="shared" si="48"/>
        <v>0</v>
      </c>
      <c r="EA51" s="1008">
        <f t="shared" si="48"/>
        <v>0</v>
      </c>
      <c r="EB51" s="1008">
        <f t="shared" si="48"/>
        <v>0</v>
      </c>
      <c r="EC51" s="1008"/>
      <c r="ED51" s="1008">
        <f t="shared" si="49"/>
        <v>7000000</v>
      </c>
    </row>
    <row r="52" spans="1:135" s="203" customFormat="1" ht="21.75" customHeight="1" x14ac:dyDescent="0.25">
      <c r="A52" s="1562"/>
      <c r="B52" s="1019"/>
      <c r="C52" s="1081" t="s">
        <v>4384</v>
      </c>
      <c r="D52" s="1019" t="s">
        <v>4325</v>
      </c>
      <c r="E52" s="1020">
        <v>410</v>
      </c>
      <c r="F52" s="1097" t="s">
        <v>3350</v>
      </c>
      <c r="G52" s="1401"/>
      <c r="H52" s="1061">
        <f t="shared" si="31"/>
        <v>502114960</v>
      </c>
      <c r="I52" s="1061">
        <f t="shared" si="32"/>
        <v>197885040</v>
      </c>
      <c r="J52" s="1401"/>
      <c r="K52" s="1284"/>
      <c r="L52" s="1284"/>
      <c r="M52" s="1075"/>
      <c r="N52" s="1075"/>
      <c r="O52" s="1075"/>
      <c r="P52" s="1075"/>
      <c r="Q52" s="1075"/>
      <c r="R52" s="1075"/>
      <c r="S52" s="1097"/>
      <c r="T52" s="1097"/>
      <c r="U52" s="1097"/>
      <c r="V52" s="1097"/>
      <c r="W52" s="1097"/>
      <c r="X52" s="1097"/>
      <c r="Y52" s="1067">
        <f t="shared" si="33"/>
        <v>700000000</v>
      </c>
      <c r="Z52" s="149"/>
      <c r="AA52" s="1067"/>
      <c r="AB52" s="1067"/>
      <c r="AC52" s="1067"/>
      <c r="AD52" s="1067"/>
      <c r="AE52" s="1067"/>
      <c r="AF52" s="1067"/>
      <c r="AG52" s="1067"/>
      <c r="AH52" s="1067"/>
      <c r="AI52" s="1067"/>
      <c r="AJ52" s="1067"/>
      <c r="AK52" s="1067"/>
      <c r="AL52" s="1067">
        <v>700000000</v>
      </c>
      <c r="AM52" s="1067"/>
      <c r="AN52" s="1067"/>
      <c r="AO52" s="1067"/>
      <c r="AP52" s="1067"/>
      <c r="AQ52" s="1067"/>
      <c r="AR52" s="1067"/>
      <c r="AS52" s="1067"/>
      <c r="AU52" s="1082">
        <f t="shared" si="3"/>
        <v>0.87039913571428573</v>
      </c>
      <c r="AV52" s="1067">
        <f t="shared" si="34"/>
        <v>609279395</v>
      </c>
      <c r="AW52" s="1067"/>
      <c r="AX52" s="1067"/>
      <c r="AY52" s="1067"/>
      <c r="AZ52" s="1067"/>
      <c r="BA52" s="1067"/>
      <c r="BB52" s="1067"/>
      <c r="BC52" s="1067"/>
      <c r="BD52" s="1067"/>
      <c r="BE52" s="1067"/>
      <c r="BF52" s="1067"/>
      <c r="BG52" s="1067"/>
      <c r="BH52" s="1067"/>
      <c r="BI52" s="1067">
        <v>609279395</v>
      </c>
      <c r="BJ52" s="1067"/>
      <c r="BK52" s="1067"/>
      <c r="BL52" s="1067"/>
      <c r="BM52" s="1067"/>
      <c r="BN52" s="1067"/>
      <c r="BO52" s="1067"/>
      <c r="BP52" s="1067"/>
      <c r="BQ52" s="1082">
        <f t="shared" si="25"/>
        <v>0.12960086428571427</v>
      </c>
      <c r="BR52" s="1067">
        <f t="shared" si="35"/>
        <v>90720605</v>
      </c>
      <c r="BS52" s="1067">
        <f t="shared" si="36"/>
        <v>0</v>
      </c>
      <c r="BT52" s="1067">
        <f t="shared" si="52"/>
        <v>0</v>
      </c>
      <c r="BU52" s="1067">
        <f t="shared" si="52"/>
        <v>0</v>
      </c>
      <c r="BV52" s="1067">
        <f t="shared" si="52"/>
        <v>0</v>
      </c>
      <c r="BW52" s="1067"/>
      <c r="BX52" s="1067">
        <f t="shared" si="38"/>
        <v>0</v>
      </c>
      <c r="BY52" s="1067">
        <f t="shared" si="38"/>
        <v>0</v>
      </c>
      <c r="BZ52" s="1067"/>
      <c r="CA52" s="1067">
        <f>+AH52-BE52</f>
        <v>0</v>
      </c>
      <c r="CB52" s="1067">
        <f>+AI52-BF52</f>
        <v>0</v>
      </c>
      <c r="CC52" s="1067">
        <f>+AJ52-BG52</f>
        <v>0</v>
      </c>
      <c r="CD52" s="1067">
        <f t="shared" si="40"/>
        <v>0</v>
      </c>
      <c r="CE52" s="1067">
        <f t="shared" si="40"/>
        <v>90720605</v>
      </c>
      <c r="CF52" s="1067">
        <f t="shared" si="40"/>
        <v>0</v>
      </c>
      <c r="CG52" s="1067">
        <f t="shared" si="40"/>
        <v>0</v>
      </c>
      <c r="CH52" s="1067">
        <f t="shared" si="40"/>
        <v>0</v>
      </c>
      <c r="CI52" s="1067">
        <f t="shared" si="40"/>
        <v>0</v>
      </c>
      <c r="CJ52" s="1067"/>
      <c r="CK52" s="1067"/>
      <c r="CL52" s="1067">
        <f t="shared" si="41"/>
        <v>0</v>
      </c>
      <c r="CM52" s="1082">
        <f t="shared" si="13"/>
        <v>0.7173070857142857</v>
      </c>
      <c r="CN52" s="1067">
        <f t="shared" si="42"/>
        <v>502114960</v>
      </c>
      <c r="CO52" s="1067"/>
      <c r="CP52" s="1067"/>
      <c r="CQ52" s="1067"/>
      <c r="CR52" s="1067"/>
      <c r="CS52" s="1067"/>
      <c r="CT52" s="1067"/>
      <c r="CU52" s="1067"/>
      <c r="CV52" s="1067"/>
      <c r="CW52" s="1067"/>
      <c r="CX52" s="1067"/>
      <c r="CY52" s="1067"/>
      <c r="CZ52" s="1067"/>
      <c r="DA52" s="1067">
        <f>+'[18]OCTUBRE 2015'!$H$2087</f>
        <v>502114960</v>
      </c>
      <c r="DB52" s="1067"/>
      <c r="DC52" s="1067"/>
      <c r="DD52" s="1067"/>
      <c r="DE52" s="1067"/>
      <c r="DF52" s="1067"/>
      <c r="DG52" s="1067"/>
      <c r="DH52" s="1067"/>
      <c r="DI52" s="1082">
        <f t="shared" si="15"/>
        <v>0.2826929142857143</v>
      </c>
      <c r="DJ52" s="1067">
        <f t="shared" si="43"/>
        <v>197885040</v>
      </c>
      <c r="DK52" s="1067"/>
      <c r="DL52" s="1067"/>
      <c r="DM52" s="1067"/>
      <c r="DN52" s="1067">
        <f t="shared" si="51"/>
        <v>0</v>
      </c>
      <c r="DO52" s="1067"/>
      <c r="DP52" s="1067">
        <f t="shared" si="45"/>
        <v>0</v>
      </c>
      <c r="DQ52" s="1067">
        <f t="shared" si="45"/>
        <v>0</v>
      </c>
      <c r="DR52" s="1067"/>
      <c r="DS52" s="1067">
        <f t="shared" si="46"/>
        <v>0</v>
      </c>
      <c r="DT52" s="1067">
        <f t="shared" si="46"/>
        <v>0</v>
      </c>
      <c r="DU52" s="1067"/>
      <c r="DV52" s="1067">
        <f t="shared" si="47"/>
        <v>0</v>
      </c>
      <c r="DW52" s="1067">
        <f t="shared" si="47"/>
        <v>197885040</v>
      </c>
      <c r="DX52" s="1067">
        <f t="shared" si="47"/>
        <v>0</v>
      </c>
      <c r="DY52" s="1067">
        <f t="shared" si="48"/>
        <v>0</v>
      </c>
      <c r="DZ52" s="1067">
        <f t="shared" si="48"/>
        <v>0</v>
      </c>
      <c r="EA52" s="1067">
        <f t="shared" si="48"/>
        <v>0</v>
      </c>
      <c r="EB52" s="1067">
        <f t="shared" si="48"/>
        <v>0</v>
      </c>
      <c r="EC52" s="1067"/>
      <c r="ED52" s="1067">
        <f t="shared" si="49"/>
        <v>0</v>
      </c>
    </row>
    <row r="53" spans="1:135" ht="53.25" customHeight="1" x14ac:dyDescent="0.25">
      <c r="A53" s="1562"/>
      <c r="B53" s="1019" t="s">
        <v>4312</v>
      </c>
      <c r="C53" s="1094" t="s">
        <v>4385</v>
      </c>
      <c r="D53" s="1019" t="s">
        <v>4327</v>
      </c>
      <c r="E53" s="1020">
        <v>410</v>
      </c>
      <c r="F53" s="1097" t="s">
        <v>4732</v>
      </c>
      <c r="G53" s="1399">
        <v>1104000000</v>
      </c>
      <c r="H53" s="1061">
        <f t="shared" si="31"/>
        <v>4326213</v>
      </c>
      <c r="I53" s="1061">
        <f t="shared" si="32"/>
        <v>1673787</v>
      </c>
      <c r="J53" s="1097" t="s">
        <v>4826</v>
      </c>
      <c r="K53" s="1093" t="s">
        <v>4828</v>
      </c>
      <c r="L53" s="1093" t="s">
        <v>4830</v>
      </c>
      <c r="M53" s="1093">
        <v>0</v>
      </c>
      <c r="N53" s="1093">
        <v>0</v>
      </c>
      <c r="O53" s="1093">
        <v>0</v>
      </c>
      <c r="P53" s="1093">
        <v>0</v>
      </c>
      <c r="Q53" s="1093">
        <v>0</v>
      </c>
      <c r="R53" s="1093">
        <v>0</v>
      </c>
      <c r="S53" s="1097"/>
      <c r="T53" s="1097"/>
      <c r="U53" s="1097"/>
      <c r="V53" s="1097"/>
      <c r="W53" s="1097"/>
      <c r="X53" s="1097"/>
      <c r="Y53" s="1008">
        <f t="shared" si="33"/>
        <v>6000000</v>
      </c>
      <c r="Z53" s="944"/>
      <c r="AA53" s="1008"/>
      <c r="AB53" s="1008"/>
      <c r="AC53" s="1008"/>
      <c r="AD53" s="1008"/>
      <c r="AE53" s="1008"/>
      <c r="AF53" s="1008"/>
      <c r="AG53" s="1008"/>
      <c r="AH53" s="1008"/>
      <c r="AI53" s="1008"/>
      <c r="AJ53" s="1008"/>
      <c r="AK53" s="1008"/>
      <c r="AL53" s="1008"/>
      <c r="AM53" s="1008"/>
      <c r="AN53" s="1008"/>
      <c r="AO53" s="1008"/>
      <c r="AP53" s="1008"/>
      <c r="AQ53" s="1008"/>
      <c r="AR53" s="1008"/>
      <c r="AS53" s="1008">
        <f>4000000+2000000</f>
        <v>6000000</v>
      </c>
      <c r="AU53" s="1011">
        <f t="shared" si="3"/>
        <v>1</v>
      </c>
      <c r="AV53" s="1008">
        <f t="shared" si="34"/>
        <v>6000000</v>
      </c>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f>+'[15]JULIO 2015'!$AD$1462</f>
        <v>6000000</v>
      </c>
      <c r="BQ53" s="1011">
        <f t="shared" si="25"/>
        <v>0</v>
      </c>
      <c r="BR53" s="1008">
        <f t="shared" si="35"/>
        <v>0</v>
      </c>
      <c r="BS53" s="1008">
        <f t="shared" si="36"/>
        <v>0</v>
      </c>
      <c r="BT53" s="1008">
        <f t="shared" si="52"/>
        <v>0</v>
      </c>
      <c r="BU53" s="1008">
        <f t="shared" si="52"/>
        <v>0</v>
      </c>
      <c r="BV53" s="1008">
        <f t="shared" si="52"/>
        <v>0</v>
      </c>
      <c r="BW53" s="1008"/>
      <c r="BX53" s="1008">
        <f t="shared" si="38"/>
        <v>0</v>
      </c>
      <c r="BY53" s="1008">
        <f t="shared" si="38"/>
        <v>0</v>
      </c>
      <c r="BZ53" s="1008"/>
      <c r="CA53" s="1008">
        <f>+AH53-BF53</f>
        <v>0</v>
      </c>
      <c r="CB53" s="1008">
        <f>+AI53-BF53</f>
        <v>0</v>
      </c>
      <c r="CC53" s="1008">
        <f>+AJ53-BG53</f>
        <v>0</v>
      </c>
      <c r="CD53" s="1008">
        <f t="shared" si="40"/>
        <v>0</v>
      </c>
      <c r="CE53" s="1008">
        <f t="shared" si="40"/>
        <v>0</v>
      </c>
      <c r="CF53" s="1008">
        <f t="shared" si="40"/>
        <v>0</v>
      </c>
      <c r="CG53" s="1008">
        <f t="shared" si="40"/>
        <v>0</v>
      </c>
      <c r="CH53" s="1008">
        <f t="shared" si="40"/>
        <v>0</v>
      </c>
      <c r="CI53" s="1008">
        <f t="shared" si="40"/>
        <v>0</v>
      </c>
      <c r="CJ53" s="1008">
        <f>+AQ53-BN53</f>
        <v>0</v>
      </c>
      <c r="CK53" s="1008">
        <f>+AR53-BO53</f>
        <v>0</v>
      </c>
      <c r="CL53" s="1008">
        <f t="shared" si="41"/>
        <v>0</v>
      </c>
      <c r="CM53" s="1011">
        <f t="shared" si="13"/>
        <v>0.72103550000000005</v>
      </c>
      <c r="CN53" s="1008">
        <f t="shared" si="42"/>
        <v>4326213</v>
      </c>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f>+'[18]OCTUBRE 2015'!$H$2150</f>
        <v>4326213</v>
      </c>
      <c r="DI53" s="1011">
        <f t="shared" si="15"/>
        <v>0.27896449999999995</v>
      </c>
      <c r="DJ53" s="1008">
        <f t="shared" si="43"/>
        <v>1673787</v>
      </c>
      <c r="DK53" s="1008"/>
      <c r="DL53" s="1008"/>
      <c r="DM53" s="1008"/>
      <c r="DN53" s="1008">
        <f t="shared" si="51"/>
        <v>0</v>
      </c>
      <c r="DO53" s="1008"/>
      <c r="DP53" s="1008">
        <f t="shared" si="45"/>
        <v>0</v>
      </c>
      <c r="DQ53" s="1008">
        <f t="shared" si="45"/>
        <v>0</v>
      </c>
      <c r="DR53" s="1008"/>
      <c r="DS53" s="1008">
        <f t="shared" si="46"/>
        <v>0</v>
      </c>
      <c r="DT53" s="1008">
        <f t="shared" si="46"/>
        <v>0</v>
      </c>
      <c r="DU53" s="1008"/>
      <c r="DV53" s="1008">
        <f t="shared" si="47"/>
        <v>0</v>
      </c>
      <c r="DW53" s="1008">
        <f t="shared" si="47"/>
        <v>0</v>
      </c>
      <c r="DX53" s="1008">
        <f t="shared" si="47"/>
        <v>0</v>
      </c>
      <c r="DY53" s="1008">
        <f t="shared" si="48"/>
        <v>0</v>
      </c>
      <c r="DZ53" s="1008">
        <f t="shared" si="48"/>
        <v>0</v>
      </c>
      <c r="EA53" s="1008">
        <f t="shared" si="48"/>
        <v>0</v>
      </c>
      <c r="EB53" s="1008">
        <f t="shared" si="48"/>
        <v>0</v>
      </c>
      <c r="EC53" s="1008"/>
      <c r="ED53" s="1008">
        <f t="shared" si="49"/>
        <v>1673787</v>
      </c>
    </row>
    <row r="54" spans="1:135" ht="36.75" customHeight="1" x14ac:dyDescent="0.25">
      <c r="A54" s="1562"/>
      <c r="B54" s="1019"/>
      <c r="C54" s="1094" t="s">
        <v>4386</v>
      </c>
      <c r="D54" s="1019" t="s">
        <v>4326</v>
      </c>
      <c r="E54" s="1020">
        <v>410</v>
      </c>
      <c r="F54" s="1097" t="s">
        <v>3350</v>
      </c>
      <c r="G54" s="1400"/>
      <c r="H54" s="1061">
        <f t="shared" si="31"/>
        <v>67552259</v>
      </c>
      <c r="I54" s="1061">
        <f t="shared" si="32"/>
        <v>49887778</v>
      </c>
      <c r="J54" s="1399" t="s">
        <v>4827</v>
      </c>
      <c r="K54" s="1283" t="s">
        <v>4829</v>
      </c>
      <c r="L54" s="1283" t="s">
        <v>4831</v>
      </c>
      <c r="M54" s="1093">
        <v>6</v>
      </c>
      <c r="N54" s="1093">
        <v>400</v>
      </c>
      <c r="O54" s="1093">
        <v>25</v>
      </c>
      <c r="P54" s="1093">
        <v>44</v>
      </c>
      <c r="Q54" s="1093">
        <v>450</v>
      </c>
      <c r="R54" s="1093">
        <v>200</v>
      </c>
      <c r="S54" s="1097"/>
      <c r="T54" s="1097"/>
      <c r="U54" s="1097"/>
      <c r="V54" s="1097"/>
      <c r="W54" s="1097"/>
      <c r="X54" s="1097"/>
      <c r="Y54" s="1008">
        <f t="shared" si="33"/>
        <v>117440037</v>
      </c>
      <c r="Z54" s="944"/>
      <c r="AA54" s="1008">
        <f>400000000-352559963</f>
        <v>47440037</v>
      </c>
      <c r="AB54" s="1008"/>
      <c r="AC54" s="1008"/>
      <c r="AD54" s="1008"/>
      <c r="AE54" s="1008">
        <v>50000000</v>
      </c>
      <c r="AF54" s="1008"/>
      <c r="AG54" s="1008"/>
      <c r="AH54" s="1008"/>
      <c r="AI54" s="1008"/>
      <c r="AJ54" s="1008"/>
      <c r="AK54" s="1008"/>
      <c r="AL54" s="1008"/>
      <c r="AM54" s="1008"/>
      <c r="AN54" s="1008"/>
      <c r="AO54" s="1008">
        <v>20000000</v>
      </c>
      <c r="AP54" s="1008"/>
      <c r="AQ54" s="1008"/>
      <c r="AR54" s="1008"/>
      <c r="AS54" s="1008"/>
      <c r="AU54" s="1011">
        <f t="shared" si="3"/>
        <v>0.64275243714373154</v>
      </c>
      <c r="AV54" s="1008">
        <f t="shared" si="34"/>
        <v>75484870</v>
      </c>
      <c r="AW54" s="1008"/>
      <c r="AX54" s="1008">
        <f>+'[18]OCTUBRE 2015'!$K$2165</f>
        <v>41482739</v>
      </c>
      <c r="AY54" s="1008"/>
      <c r="AZ54" s="1008"/>
      <c r="BA54" s="1008"/>
      <c r="BB54" s="1008">
        <f>+'[18]OCTUBRE 2015'!$O$2165</f>
        <v>14002131</v>
      </c>
      <c r="BC54" s="1008"/>
      <c r="BD54" s="1008"/>
      <c r="BE54" s="1008"/>
      <c r="BF54" s="1008"/>
      <c r="BG54" s="1008"/>
      <c r="BH54" s="1008"/>
      <c r="BI54" s="1008"/>
      <c r="BJ54" s="1008"/>
      <c r="BK54" s="1008"/>
      <c r="BL54" s="1008">
        <f>+'[15]JULIO 2015'!$Y$1469</f>
        <v>20000000</v>
      </c>
      <c r="BM54" s="1008"/>
      <c r="BN54" s="1008"/>
      <c r="BO54" s="1008"/>
      <c r="BP54" s="1008"/>
      <c r="BQ54" s="1011">
        <f t="shared" si="25"/>
        <v>0.35724756285626846</v>
      </c>
      <c r="BR54" s="1008">
        <f t="shared" si="35"/>
        <v>41955167</v>
      </c>
      <c r="BS54" s="1008">
        <f t="shared" si="36"/>
        <v>0</v>
      </c>
      <c r="BT54" s="1008">
        <f t="shared" si="52"/>
        <v>5957298</v>
      </c>
      <c r="BU54" s="1008">
        <f t="shared" si="52"/>
        <v>0</v>
      </c>
      <c r="BV54" s="1008">
        <f t="shared" si="52"/>
        <v>0</v>
      </c>
      <c r="BW54" s="1008"/>
      <c r="BX54" s="1008">
        <f t="shared" si="38"/>
        <v>35997869</v>
      </c>
      <c r="BY54" s="1008">
        <f t="shared" si="38"/>
        <v>0</v>
      </c>
      <c r="BZ54" s="1008"/>
      <c r="CA54" s="1008">
        <f>+AH54-BF54</f>
        <v>0</v>
      </c>
      <c r="CB54" s="1008">
        <f>+AI54-BG54</f>
        <v>0</v>
      </c>
      <c r="CC54" s="1008">
        <f>+AJ54-BH54</f>
        <v>0</v>
      </c>
      <c r="CD54" s="1008">
        <f t="shared" si="40"/>
        <v>0</v>
      </c>
      <c r="CE54" s="1008">
        <f t="shared" si="40"/>
        <v>0</v>
      </c>
      <c r="CF54" s="1008">
        <f t="shared" si="40"/>
        <v>0</v>
      </c>
      <c r="CG54" s="1008">
        <f t="shared" si="40"/>
        <v>0</v>
      </c>
      <c r="CH54" s="1008">
        <f t="shared" si="40"/>
        <v>0</v>
      </c>
      <c r="CI54" s="1008">
        <f t="shared" si="40"/>
        <v>0</v>
      </c>
      <c r="CJ54" s="1008">
        <f>+AQ54-BN54</f>
        <v>0</v>
      </c>
      <c r="CK54" s="1008">
        <f>+AR54-BO54</f>
        <v>0</v>
      </c>
      <c r="CL54" s="1008">
        <f t="shared" si="41"/>
        <v>0</v>
      </c>
      <c r="CM54" s="1011">
        <f t="shared" si="13"/>
        <v>0.5752063838331386</v>
      </c>
      <c r="CN54" s="1008">
        <f t="shared" si="42"/>
        <v>67552259</v>
      </c>
      <c r="CO54" s="1008"/>
      <c r="CP54" s="1008">
        <f>+'[18]OCTUBRE 2015'!$H$2169+'[18]OCTUBRE 2015'!$H$2173+'[18]OCTUBRE 2015'!$H$2176+'[18]OCTUBRE 2015'!$H$2181+'[18]OCTUBRE 2015'!$H$2186+'[18]OCTUBRE 2015'!$H$2189+'[18]OCTUBRE 2015'!$H$2192+'[18]OCTUBRE 2015'!$H$2200</f>
        <v>41482739</v>
      </c>
      <c r="CQ54" s="1008"/>
      <c r="CR54" s="1008"/>
      <c r="CS54" s="1008"/>
      <c r="CT54" s="1008">
        <f>+'[15]JULIO 2015'!$H$1506</f>
        <v>14002131</v>
      </c>
      <c r="CU54" s="1008"/>
      <c r="CV54" s="1008"/>
      <c r="CW54" s="1008"/>
      <c r="CX54" s="1008"/>
      <c r="CY54" s="1008"/>
      <c r="CZ54" s="1008"/>
      <c r="DA54" s="1008"/>
      <c r="DB54" s="1008"/>
      <c r="DC54" s="1008"/>
      <c r="DD54" s="1008">
        <f>+'[18]OCTUBRE 2015'!$H$2207</f>
        <v>12067389</v>
      </c>
      <c r="DE54" s="1008"/>
      <c r="DF54" s="1008"/>
      <c r="DG54" s="1008"/>
      <c r="DH54" s="1008"/>
      <c r="DI54" s="1011">
        <f t="shared" si="15"/>
        <v>0.4247936161668614</v>
      </c>
      <c r="DJ54" s="1008">
        <f t="shared" si="43"/>
        <v>49887778</v>
      </c>
      <c r="DK54" s="1008"/>
      <c r="DL54" s="1008">
        <f>AA54-CP54</f>
        <v>5957298</v>
      </c>
      <c r="DM54" s="1008">
        <f>AB54-CQ54</f>
        <v>0</v>
      </c>
      <c r="DN54" s="1008">
        <f t="shared" si="51"/>
        <v>0</v>
      </c>
      <c r="DO54" s="1008"/>
      <c r="DP54" s="1008">
        <f t="shared" si="45"/>
        <v>35997869</v>
      </c>
      <c r="DQ54" s="1008">
        <f t="shared" si="45"/>
        <v>0</v>
      </c>
      <c r="DR54" s="1008"/>
      <c r="DS54" s="1008">
        <f t="shared" si="46"/>
        <v>0</v>
      </c>
      <c r="DT54" s="1008">
        <f t="shared" si="46"/>
        <v>0</v>
      </c>
      <c r="DU54" s="1008"/>
      <c r="DV54" s="1008">
        <f t="shared" si="47"/>
        <v>0</v>
      </c>
      <c r="DW54" s="1008">
        <f t="shared" si="47"/>
        <v>0</v>
      </c>
      <c r="DX54" s="1008">
        <f t="shared" si="47"/>
        <v>0</v>
      </c>
      <c r="DY54" s="1008">
        <f t="shared" si="48"/>
        <v>0</v>
      </c>
      <c r="DZ54" s="1008">
        <f t="shared" si="48"/>
        <v>7932611</v>
      </c>
      <c r="EA54" s="1008">
        <f t="shared" si="48"/>
        <v>0</v>
      </c>
      <c r="EB54" s="1008">
        <f t="shared" si="48"/>
        <v>0</v>
      </c>
      <c r="EC54" s="1008"/>
      <c r="ED54" s="1008">
        <f t="shared" si="49"/>
        <v>0</v>
      </c>
    </row>
    <row r="55" spans="1:135" ht="20.25" customHeight="1" x14ac:dyDescent="0.25">
      <c r="A55" s="1562"/>
      <c r="B55" s="1019"/>
      <c r="C55" s="1094" t="s">
        <v>4387</v>
      </c>
      <c r="D55" s="1019" t="s">
        <v>4610</v>
      </c>
      <c r="E55" s="1020">
        <v>410</v>
      </c>
      <c r="F55" s="1097" t="s">
        <v>3350</v>
      </c>
      <c r="G55" s="1401"/>
      <c r="H55" s="1061">
        <f t="shared" si="31"/>
        <v>1035821377</v>
      </c>
      <c r="I55" s="1061">
        <f t="shared" si="32"/>
        <v>1768192303</v>
      </c>
      <c r="J55" s="1401"/>
      <c r="K55" s="1284"/>
      <c r="L55" s="1284"/>
      <c r="M55" s="1093">
        <v>56</v>
      </c>
      <c r="N55" s="1093">
        <v>150</v>
      </c>
      <c r="O55" s="1093">
        <v>84</v>
      </c>
      <c r="P55" s="1093">
        <v>20</v>
      </c>
      <c r="Q55" s="1093">
        <v>100</v>
      </c>
      <c r="R55" s="1093">
        <v>20</v>
      </c>
      <c r="S55" s="1097"/>
      <c r="T55" s="1097"/>
      <c r="U55" s="1097"/>
      <c r="V55" s="1097"/>
      <c r="W55" s="1097"/>
      <c r="X55" s="1097"/>
      <c r="Y55" s="1008">
        <f t="shared" si="33"/>
        <v>2804013680</v>
      </c>
      <c r="Z55" s="944"/>
      <c r="AA55" s="1008"/>
      <c r="AB55" s="1008"/>
      <c r="AC55" s="1008"/>
      <c r="AD55" s="1008"/>
      <c r="AE55" s="1008"/>
      <c r="AF55" s="1008"/>
      <c r="AG55" s="1008"/>
      <c r="AH55" s="1008"/>
      <c r="AI55" s="1008"/>
      <c r="AJ55" s="1008"/>
      <c r="AK55" s="1008"/>
      <c r="AL55" s="1008">
        <f>700000000+2104013680</f>
        <v>2804013680</v>
      </c>
      <c r="AM55" s="1008"/>
      <c r="AN55" s="1008"/>
      <c r="AO55" s="1008"/>
      <c r="AP55" s="1008"/>
      <c r="AQ55" s="1008"/>
      <c r="AR55" s="1008"/>
      <c r="AS55" s="1008"/>
      <c r="AU55" s="1011">
        <f t="shared" si="3"/>
        <v>0.64284704167349138</v>
      </c>
      <c r="AV55" s="1008">
        <f t="shared" si="34"/>
        <v>1802551899</v>
      </c>
      <c r="AW55" s="1008"/>
      <c r="AX55" s="1008"/>
      <c r="AY55" s="1008"/>
      <c r="AZ55" s="1008"/>
      <c r="BA55" s="1008"/>
      <c r="BB55" s="1008"/>
      <c r="BC55" s="1008"/>
      <c r="BD55" s="1008"/>
      <c r="BE55" s="1008"/>
      <c r="BF55" s="1008"/>
      <c r="BG55" s="1008"/>
      <c r="BH55" s="1008"/>
      <c r="BI55" s="1008">
        <f>+'[18]OCTUBRE 2015'!$V$2215</f>
        <v>1802551899</v>
      </c>
      <c r="BJ55" s="1008"/>
      <c r="BK55" s="1008"/>
      <c r="BL55" s="1008"/>
      <c r="BM55" s="1008"/>
      <c r="BN55" s="1008"/>
      <c r="BO55" s="1008"/>
      <c r="BP55" s="1008"/>
      <c r="BQ55" s="1011">
        <f t="shared" si="25"/>
        <v>0.35715295832650862</v>
      </c>
      <c r="BR55" s="1008">
        <f t="shared" si="35"/>
        <v>1001461781</v>
      </c>
      <c r="BS55" s="1008">
        <f t="shared" si="36"/>
        <v>0</v>
      </c>
      <c r="BT55" s="1008">
        <f t="shared" si="52"/>
        <v>0</v>
      </c>
      <c r="BU55" s="1008">
        <f t="shared" si="52"/>
        <v>0</v>
      </c>
      <c r="BV55" s="1008">
        <f t="shared" si="52"/>
        <v>0</v>
      </c>
      <c r="BW55" s="1008"/>
      <c r="BX55" s="1008">
        <f t="shared" si="38"/>
        <v>0</v>
      </c>
      <c r="BY55" s="1008">
        <f t="shared" si="38"/>
        <v>0</v>
      </c>
      <c r="BZ55" s="1008"/>
      <c r="CA55" s="1008"/>
      <c r="CB55" s="1008">
        <f>+AI55-BG55</f>
        <v>0</v>
      </c>
      <c r="CC55" s="1008"/>
      <c r="CD55" s="1008">
        <f t="shared" ref="CD55:CF58" si="54">+AK55-BH55</f>
        <v>0</v>
      </c>
      <c r="CE55" s="1008">
        <f t="shared" si="54"/>
        <v>1001461781</v>
      </c>
      <c r="CF55" s="1008">
        <f t="shared" si="54"/>
        <v>0</v>
      </c>
      <c r="CG55" s="1008"/>
      <c r="CH55" s="1008">
        <f t="shared" ref="CH55:CI58" si="55">+AO55-BL55</f>
        <v>0</v>
      </c>
      <c r="CI55" s="1008">
        <f t="shared" si="55"/>
        <v>0</v>
      </c>
      <c r="CJ55" s="1008"/>
      <c r="CK55" s="1008"/>
      <c r="CL55" s="1008">
        <f t="shared" si="41"/>
        <v>0</v>
      </c>
      <c r="CM55" s="1011">
        <f t="shared" si="13"/>
        <v>0.36940667743104594</v>
      </c>
      <c r="CN55" s="1008">
        <f t="shared" si="42"/>
        <v>1035821377</v>
      </c>
      <c r="CO55" s="1008"/>
      <c r="CP55" s="1008"/>
      <c r="CQ55" s="1008"/>
      <c r="CR55" s="1008"/>
      <c r="CS55" s="1008"/>
      <c r="CT55" s="1008"/>
      <c r="CU55" s="1008"/>
      <c r="CV55" s="1008"/>
      <c r="CW55" s="1008"/>
      <c r="CX55" s="1008"/>
      <c r="CY55" s="1008"/>
      <c r="CZ55" s="1008"/>
      <c r="DA55" s="1008">
        <f>+'[18]OCTUBRE 2015'!$H$2213</f>
        <v>1035821377</v>
      </c>
      <c r="DB55" s="1008"/>
      <c r="DC55" s="1008"/>
      <c r="DD55" s="1008"/>
      <c r="DE55" s="1008"/>
      <c r="DF55" s="1008"/>
      <c r="DG55" s="1008"/>
      <c r="DH55" s="1008"/>
      <c r="DI55" s="1011">
        <f t="shared" si="15"/>
        <v>0.63059332256895406</v>
      </c>
      <c r="DJ55" s="1008">
        <f t="shared" si="43"/>
        <v>1768192303</v>
      </c>
      <c r="DK55" s="1008"/>
      <c r="DL55" s="1008"/>
      <c r="DM55" s="1008"/>
      <c r="DN55" s="1008">
        <f t="shared" si="51"/>
        <v>0</v>
      </c>
      <c r="DO55" s="1008"/>
      <c r="DP55" s="1008">
        <f t="shared" si="45"/>
        <v>0</v>
      </c>
      <c r="DQ55" s="1008">
        <f t="shared" si="45"/>
        <v>0</v>
      </c>
      <c r="DR55" s="1008"/>
      <c r="DS55" s="1008">
        <f t="shared" si="46"/>
        <v>0</v>
      </c>
      <c r="DT55" s="1008">
        <f t="shared" si="46"/>
        <v>0</v>
      </c>
      <c r="DU55" s="1008"/>
      <c r="DV55" s="1008">
        <f t="shared" si="47"/>
        <v>0</v>
      </c>
      <c r="DW55" s="1008">
        <f t="shared" si="47"/>
        <v>1768192303</v>
      </c>
      <c r="DX55" s="1008">
        <f t="shared" si="47"/>
        <v>0</v>
      </c>
      <c r="DY55" s="1008">
        <f t="shared" si="48"/>
        <v>0</v>
      </c>
      <c r="DZ55" s="1008">
        <f t="shared" si="48"/>
        <v>0</v>
      </c>
      <c r="EA55" s="1008">
        <f t="shared" si="48"/>
        <v>0</v>
      </c>
      <c r="EB55" s="1008">
        <f t="shared" si="48"/>
        <v>0</v>
      </c>
      <c r="EC55" s="1008"/>
      <c r="ED55" s="1008">
        <f t="shared" si="49"/>
        <v>0</v>
      </c>
    </row>
    <row r="56" spans="1:135" ht="46.5" customHeight="1" x14ac:dyDescent="0.25">
      <c r="A56" s="1562"/>
      <c r="B56" s="1019" t="s">
        <v>4313</v>
      </c>
      <c r="C56" s="1094" t="s">
        <v>4388</v>
      </c>
      <c r="D56" s="1019" t="s">
        <v>4611</v>
      </c>
      <c r="E56" s="1020">
        <v>410</v>
      </c>
      <c r="F56" s="1097" t="s">
        <v>3350</v>
      </c>
      <c r="G56" s="1399">
        <v>50000000</v>
      </c>
      <c r="H56" s="1061">
        <f t="shared" si="31"/>
        <v>35000000</v>
      </c>
      <c r="I56" s="1061">
        <f t="shared" si="32"/>
        <v>0</v>
      </c>
      <c r="J56" s="1097" t="s">
        <v>4832</v>
      </c>
      <c r="K56" s="1093" t="s">
        <v>4833</v>
      </c>
      <c r="L56" s="1093" t="s">
        <v>4834</v>
      </c>
      <c r="M56" s="1093">
        <v>73</v>
      </c>
      <c r="N56" s="1093">
        <v>0</v>
      </c>
      <c r="O56" s="1093">
        <v>0</v>
      </c>
      <c r="P56" s="1093">
        <v>85</v>
      </c>
      <c r="Q56" s="1093">
        <v>50</v>
      </c>
      <c r="R56" s="1093">
        <v>42</v>
      </c>
      <c r="S56" s="1097"/>
      <c r="T56" s="1097"/>
      <c r="U56" s="1097"/>
      <c r="V56" s="1097"/>
      <c r="W56" s="1097"/>
      <c r="X56" s="1097"/>
      <c r="Y56" s="1008">
        <f t="shared" si="33"/>
        <v>35000000</v>
      </c>
      <c r="Z56" s="944"/>
      <c r="AA56" s="1008"/>
      <c r="AB56" s="1008"/>
      <c r="AC56" s="1008"/>
      <c r="AD56" s="1008"/>
      <c r="AE56" s="1008">
        <v>35000000</v>
      </c>
      <c r="AF56" s="1008"/>
      <c r="AG56" s="1008"/>
      <c r="AH56" s="1008"/>
      <c r="AI56" s="1008"/>
      <c r="AJ56" s="1008"/>
      <c r="AK56" s="1008"/>
      <c r="AL56" s="1008"/>
      <c r="AM56" s="1008"/>
      <c r="AN56" s="1008"/>
      <c r="AO56" s="1008"/>
      <c r="AP56" s="1008"/>
      <c r="AQ56" s="1008"/>
      <c r="AR56" s="1008"/>
      <c r="AS56" s="1008"/>
      <c r="AU56" s="1011">
        <f t="shared" si="3"/>
        <v>1</v>
      </c>
      <c r="AV56" s="1008">
        <f t="shared" si="34"/>
        <v>35000000</v>
      </c>
      <c r="AW56" s="1008"/>
      <c r="AX56" s="1008"/>
      <c r="AY56" s="1008"/>
      <c r="AZ56" s="1008"/>
      <c r="BA56" s="1008"/>
      <c r="BB56" s="1008">
        <f>+'[9]FEBRERO 2015'!$N$658</f>
        <v>35000000</v>
      </c>
      <c r="BC56" s="1008"/>
      <c r="BD56" s="1008"/>
      <c r="BE56" s="1008"/>
      <c r="BF56" s="1008"/>
      <c r="BG56" s="1008"/>
      <c r="BH56" s="1008"/>
      <c r="BI56" s="1008"/>
      <c r="BJ56" s="1008"/>
      <c r="BK56" s="1008"/>
      <c r="BL56" s="1008"/>
      <c r="BM56" s="1008"/>
      <c r="BN56" s="1008"/>
      <c r="BO56" s="1008"/>
      <c r="BP56" s="1008"/>
      <c r="BQ56" s="1011">
        <f t="shared" si="25"/>
        <v>0</v>
      </c>
      <c r="BR56" s="1008">
        <f t="shared" si="35"/>
        <v>0</v>
      </c>
      <c r="BS56" s="1008">
        <f t="shared" si="36"/>
        <v>0</v>
      </c>
      <c r="BT56" s="1008">
        <f t="shared" si="52"/>
        <v>0</v>
      </c>
      <c r="BU56" s="1008">
        <f t="shared" si="52"/>
        <v>0</v>
      </c>
      <c r="BV56" s="1008">
        <f t="shared" si="52"/>
        <v>0</v>
      </c>
      <c r="BW56" s="1008"/>
      <c r="BX56" s="1008">
        <f t="shared" si="38"/>
        <v>0</v>
      </c>
      <c r="BY56" s="1008">
        <f t="shared" si="38"/>
        <v>0</v>
      </c>
      <c r="BZ56" s="1008"/>
      <c r="CA56" s="1008">
        <f>+AH56-BE56</f>
        <v>0</v>
      </c>
      <c r="CB56" s="1008">
        <f>+AI56-BF56</f>
        <v>0</v>
      </c>
      <c r="CC56" s="1008">
        <f>+AJ56-BG56</f>
        <v>0</v>
      </c>
      <c r="CD56" s="1008">
        <f t="shared" si="54"/>
        <v>0</v>
      </c>
      <c r="CE56" s="1008">
        <f t="shared" si="54"/>
        <v>0</v>
      </c>
      <c r="CF56" s="1008">
        <f t="shared" si="54"/>
        <v>0</v>
      </c>
      <c r="CG56" s="1008">
        <f>+AN56-BK56</f>
        <v>0</v>
      </c>
      <c r="CH56" s="1008">
        <f t="shared" si="55"/>
        <v>0</v>
      </c>
      <c r="CI56" s="1008">
        <f t="shared" si="55"/>
        <v>0</v>
      </c>
      <c r="CJ56" s="1008">
        <f>+AQ56-BN56</f>
        <v>0</v>
      </c>
      <c r="CK56" s="1008">
        <f>+AR56-BO56</f>
        <v>0</v>
      </c>
      <c r="CL56" s="1008">
        <f t="shared" si="41"/>
        <v>0</v>
      </c>
      <c r="CM56" s="1011">
        <f t="shared" si="13"/>
        <v>1</v>
      </c>
      <c r="CN56" s="1008">
        <f t="shared" si="42"/>
        <v>35000000</v>
      </c>
      <c r="CO56" s="1008"/>
      <c r="CP56" s="1008"/>
      <c r="CQ56" s="1008"/>
      <c r="CR56" s="1008"/>
      <c r="CS56" s="1008"/>
      <c r="CT56" s="1008">
        <f>+'[17]SEPTIEMBRE 2015'!$H$2273</f>
        <v>35000000</v>
      </c>
      <c r="CU56" s="1008"/>
      <c r="CV56" s="1008"/>
      <c r="CW56" s="1008"/>
      <c r="CX56" s="1008"/>
      <c r="CY56" s="1008"/>
      <c r="CZ56" s="1008"/>
      <c r="DA56" s="1008"/>
      <c r="DB56" s="1008"/>
      <c r="DC56" s="1008"/>
      <c r="DD56" s="1008"/>
      <c r="DE56" s="1008"/>
      <c r="DF56" s="1008"/>
      <c r="DG56" s="1008"/>
      <c r="DH56" s="1008"/>
      <c r="DI56" s="1011">
        <f t="shared" si="15"/>
        <v>0</v>
      </c>
      <c r="DJ56" s="1008">
        <f t="shared" si="43"/>
        <v>0</v>
      </c>
      <c r="DK56" s="1008"/>
      <c r="DL56" s="1008"/>
      <c r="DM56" s="1008"/>
      <c r="DN56" s="1008">
        <f t="shared" si="51"/>
        <v>0</v>
      </c>
      <c r="DO56" s="1008"/>
      <c r="DP56" s="1008">
        <f t="shared" si="45"/>
        <v>0</v>
      </c>
      <c r="DQ56" s="1008">
        <f t="shared" si="45"/>
        <v>0</v>
      </c>
      <c r="DR56" s="1008"/>
      <c r="DS56" s="1008">
        <f t="shared" si="46"/>
        <v>0</v>
      </c>
      <c r="DT56" s="1008">
        <f t="shared" si="46"/>
        <v>0</v>
      </c>
      <c r="DU56" s="1008"/>
      <c r="DV56" s="1008">
        <f t="shared" si="47"/>
        <v>0</v>
      </c>
      <c r="DW56" s="1008">
        <f t="shared" si="47"/>
        <v>0</v>
      </c>
      <c r="DX56" s="1008">
        <f t="shared" si="47"/>
        <v>0</v>
      </c>
      <c r="DY56" s="1008">
        <f t="shared" si="48"/>
        <v>0</v>
      </c>
      <c r="DZ56" s="1008">
        <f t="shared" si="48"/>
        <v>0</v>
      </c>
      <c r="EA56" s="1008">
        <f t="shared" si="48"/>
        <v>0</v>
      </c>
      <c r="EB56" s="1008">
        <f t="shared" si="48"/>
        <v>0</v>
      </c>
      <c r="EC56" s="1008"/>
      <c r="ED56" s="1008">
        <f t="shared" si="49"/>
        <v>0</v>
      </c>
    </row>
    <row r="57" spans="1:135" ht="35.25" customHeight="1" x14ac:dyDescent="0.25">
      <c r="A57" s="1562"/>
      <c r="B57" s="1019"/>
      <c r="C57" s="1094" t="s">
        <v>4556</v>
      </c>
      <c r="D57" s="1019" t="s">
        <v>4612</v>
      </c>
      <c r="E57" s="1020">
        <v>410</v>
      </c>
      <c r="F57" s="1097" t="s">
        <v>3350</v>
      </c>
      <c r="G57" s="1401"/>
      <c r="H57" s="1061">
        <f t="shared" si="31"/>
        <v>14594526</v>
      </c>
      <c r="I57" s="1061">
        <f t="shared" si="32"/>
        <v>405474</v>
      </c>
      <c r="J57" s="1097" t="s">
        <v>4832</v>
      </c>
      <c r="K57" s="1093" t="s">
        <v>4833</v>
      </c>
      <c r="L57" s="1093" t="s">
        <v>4834</v>
      </c>
      <c r="M57" s="1093">
        <v>0</v>
      </c>
      <c r="N57" s="1093">
        <v>100</v>
      </c>
      <c r="O57" s="1093">
        <v>0</v>
      </c>
      <c r="P57" s="1093">
        <v>47</v>
      </c>
      <c r="Q57" s="1093">
        <v>50</v>
      </c>
      <c r="R57" s="1093">
        <v>23</v>
      </c>
      <c r="S57" s="1097"/>
      <c r="T57" s="1097"/>
      <c r="U57" s="1097"/>
      <c r="V57" s="1097"/>
      <c r="W57" s="1097"/>
      <c r="X57" s="1097"/>
      <c r="Y57" s="1008">
        <f t="shared" si="33"/>
        <v>15000000</v>
      </c>
      <c r="Z57" s="944"/>
      <c r="AA57" s="1008"/>
      <c r="AB57" s="1008"/>
      <c r="AC57" s="1008"/>
      <c r="AD57" s="1008"/>
      <c r="AE57" s="1008">
        <v>15000000</v>
      </c>
      <c r="AF57" s="1008"/>
      <c r="AG57" s="1008"/>
      <c r="AH57" s="1008"/>
      <c r="AI57" s="1008"/>
      <c r="AJ57" s="1008"/>
      <c r="AK57" s="1008"/>
      <c r="AL57" s="1008"/>
      <c r="AM57" s="1008"/>
      <c r="AN57" s="1008"/>
      <c r="AO57" s="1008"/>
      <c r="AP57" s="1008"/>
      <c r="AQ57" s="1008"/>
      <c r="AR57" s="1008"/>
      <c r="AS57" s="1008"/>
      <c r="AU57" s="1011">
        <f t="shared" si="3"/>
        <v>0.97296839999999996</v>
      </c>
      <c r="AV57" s="1008">
        <f t="shared" si="34"/>
        <v>14594526</v>
      </c>
      <c r="AW57" s="1008"/>
      <c r="AX57" s="1008"/>
      <c r="AY57" s="1008"/>
      <c r="AZ57" s="1008"/>
      <c r="BA57" s="1008"/>
      <c r="BB57" s="1008">
        <f>+'[18]OCTUBRE 2015'!$O$2659</f>
        <v>14594526</v>
      </c>
      <c r="BC57" s="1008"/>
      <c r="BD57" s="1008"/>
      <c r="BE57" s="1008"/>
      <c r="BF57" s="1008"/>
      <c r="BG57" s="1008"/>
      <c r="BH57" s="1008"/>
      <c r="BI57" s="1008"/>
      <c r="BJ57" s="1008"/>
      <c r="BK57" s="1008"/>
      <c r="BL57" s="1008"/>
      <c r="BM57" s="1008"/>
      <c r="BN57" s="1008"/>
      <c r="BO57" s="1008"/>
      <c r="BP57" s="1008"/>
      <c r="BQ57" s="1011">
        <f t="shared" si="25"/>
        <v>2.7031600000000044E-2</v>
      </c>
      <c r="BR57" s="1008">
        <f t="shared" si="35"/>
        <v>405474</v>
      </c>
      <c r="BS57" s="1008">
        <f t="shared" si="36"/>
        <v>0</v>
      </c>
      <c r="BT57" s="1008"/>
      <c r="BU57" s="1008">
        <f t="shared" si="52"/>
        <v>0</v>
      </c>
      <c r="BV57" s="1008">
        <f t="shared" si="52"/>
        <v>0</v>
      </c>
      <c r="BW57" s="1008"/>
      <c r="BX57" s="1008">
        <f t="shared" si="38"/>
        <v>405474</v>
      </c>
      <c r="BY57" s="1008">
        <f t="shared" si="38"/>
        <v>0</v>
      </c>
      <c r="BZ57" s="1008"/>
      <c r="CA57" s="1008"/>
      <c r="CB57" s="1008">
        <f>+AI57-BF57</f>
        <v>0</v>
      </c>
      <c r="CC57" s="1008"/>
      <c r="CD57" s="1008">
        <f t="shared" si="54"/>
        <v>0</v>
      </c>
      <c r="CE57" s="1008">
        <f t="shared" si="54"/>
        <v>0</v>
      </c>
      <c r="CF57" s="1008">
        <f t="shared" si="54"/>
        <v>0</v>
      </c>
      <c r="CG57" s="1008">
        <f>+AN57-BK57</f>
        <v>0</v>
      </c>
      <c r="CH57" s="1008">
        <f t="shared" si="55"/>
        <v>0</v>
      </c>
      <c r="CI57" s="1008">
        <f t="shared" si="55"/>
        <v>0</v>
      </c>
      <c r="CJ57" s="1008"/>
      <c r="CK57" s="1008"/>
      <c r="CL57" s="1008">
        <f t="shared" si="41"/>
        <v>0</v>
      </c>
      <c r="CM57" s="1011">
        <f t="shared" si="13"/>
        <v>0.97296839999999996</v>
      </c>
      <c r="CN57" s="1008">
        <f t="shared" si="42"/>
        <v>14594526</v>
      </c>
      <c r="CO57" s="1008"/>
      <c r="CP57" s="1008"/>
      <c r="CQ57" s="1008"/>
      <c r="CR57" s="1008"/>
      <c r="CS57" s="1008"/>
      <c r="CT57" s="1008">
        <f>+'[17]SEPTIEMBRE 2015'!$H$2283</f>
        <v>14594526</v>
      </c>
      <c r="CU57" s="1008"/>
      <c r="CV57" s="1008"/>
      <c r="CW57" s="1008"/>
      <c r="CX57" s="1008"/>
      <c r="CY57" s="1008"/>
      <c r="CZ57" s="1008"/>
      <c r="DA57" s="1008"/>
      <c r="DB57" s="1008"/>
      <c r="DC57" s="1008"/>
      <c r="DD57" s="1008"/>
      <c r="DE57" s="1008"/>
      <c r="DF57" s="1008"/>
      <c r="DG57" s="1008"/>
      <c r="DH57" s="1008"/>
      <c r="DI57" s="1011">
        <f t="shared" si="15"/>
        <v>2.7031600000000044E-2</v>
      </c>
      <c r="DJ57" s="1008">
        <f t="shared" si="43"/>
        <v>405474</v>
      </c>
      <c r="DK57" s="1008"/>
      <c r="DL57" s="1008"/>
      <c r="DM57" s="1008"/>
      <c r="DN57" s="1008">
        <f t="shared" si="51"/>
        <v>0</v>
      </c>
      <c r="DO57" s="1008"/>
      <c r="DP57" s="1008">
        <f t="shared" si="45"/>
        <v>405474</v>
      </c>
      <c r="DQ57" s="1008">
        <f t="shared" si="45"/>
        <v>0</v>
      </c>
      <c r="DR57" s="1008"/>
      <c r="DS57" s="1008">
        <f t="shared" si="46"/>
        <v>0</v>
      </c>
      <c r="DT57" s="1008">
        <f t="shared" si="46"/>
        <v>0</v>
      </c>
      <c r="DU57" s="1008"/>
      <c r="DV57" s="1008">
        <f t="shared" si="47"/>
        <v>0</v>
      </c>
      <c r="DW57" s="1008">
        <f t="shared" si="47"/>
        <v>0</v>
      </c>
      <c r="DX57" s="1008">
        <f t="shared" si="47"/>
        <v>0</v>
      </c>
      <c r="DY57" s="1008">
        <f t="shared" si="48"/>
        <v>0</v>
      </c>
      <c r="DZ57" s="1008">
        <f t="shared" si="48"/>
        <v>0</v>
      </c>
      <c r="EA57" s="1008">
        <f t="shared" si="48"/>
        <v>0</v>
      </c>
      <c r="EB57" s="1008">
        <f t="shared" si="48"/>
        <v>0</v>
      </c>
      <c r="EC57" s="1008"/>
      <c r="ED57" s="1008">
        <f t="shared" si="49"/>
        <v>0</v>
      </c>
    </row>
    <row r="58" spans="1:135" ht="42.75" customHeight="1" x14ac:dyDescent="0.25">
      <c r="A58" s="1562"/>
      <c r="B58" s="1019" t="s">
        <v>4314</v>
      </c>
      <c r="C58" s="1094" t="s">
        <v>4389</v>
      </c>
      <c r="D58" s="1019" t="s">
        <v>4328</v>
      </c>
      <c r="E58" s="1020">
        <v>410</v>
      </c>
      <c r="F58" s="1097" t="s">
        <v>4590</v>
      </c>
      <c r="G58" s="1399">
        <v>291000000</v>
      </c>
      <c r="H58" s="1061">
        <f t="shared" si="31"/>
        <v>129011140</v>
      </c>
      <c r="I58" s="1061">
        <f t="shared" si="32"/>
        <v>214252150</v>
      </c>
      <c r="J58" s="1399" t="s">
        <v>4835</v>
      </c>
      <c r="K58" s="1283" t="s">
        <v>4836</v>
      </c>
      <c r="L58" s="1283" t="s">
        <v>4837</v>
      </c>
      <c r="M58" s="1093">
        <v>5</v>
      </c>
      <c r="N58" s="1093">
        <v>100</v>
      </c>
      <c r="O58" s="1093">
        <v>5</v>
      </c>
      <c r="P58" s="1093">
        <v>27</v>
      </c>
      <c r="Q58" s="1093">
        <v>300</v>
      </c>
      <c r="R58" s="1093">
        <v>82</v>
      </c>
      <c r="S58" s="1097"/>
      <c r="T58" s="1097"/>
      <c r="U58" s="1097"/>
      <c r="V58" s="1097"/>
      <c r="W58" s="1097"/>
      <c r="X58" s="1097"/>
      <c r="Y58" s="1008">
        <f t="shared" si="33"/>
        <v>343263290</v>
      </c>
      <c r="Z58" s="944"/>
      <c r="AA58" s="1008"/>
      <c r="AB58" s="1008"/>
      <c r="AC58" s="1008">
        <f>181000000-87736710+250000000</f>
        <v>343263290</v>
      </c>
      <c r="AD58" s="1008"/>
      <c r="AE58" s="1008">
        <f>100000000-100000000</f>
        <v>0</v>
      </c>
      <c r="AF58" s="1008"/>
      <c r="AG58" s="1008"/>
      <c r="AH58" s="1008"/>
      <c r="AI58" s="1008"/>
      <c r="AJ58" s="1008"/>
      <c r="AK58" s="1008"/>
      <c r="AL58" s="1008"/>
      <c r="AM58" s="1008"/>
      <c r="AN58" s="1008"/>
      <c r="AO58" s="1008"/>
      <c r="AP58" s="1008"/>
      <c r="AQ58" s="1008"/>
      <c r="AR58" s="1008"/>
      <c r="AS58" s="1008">
        <f>10455882-10455882</f>
        <v>0</v>
      </c>
      <c r="AU58" s="1011">
        <f t="shared" si="3"/>
        <v>1</v>
      </c>
      <c r="AV58" s="1008">
        <f t="shared" si="34"/>
        <v>343263290</v>
      </c>
      <c r="AW58" s="1008"/>
      <c r="AX58" s="1008"/>
      <c r="AY58" s="1008"/>
      <c r="AZ58" s="1008">
        <f>+'[14]JUNIO 2015'!$M$1391</f>
        <v>343263290</v>
      </c>
      <c r="BA58" s="1008"/>
      <c r="BB58" s="1008"/>
      <c r="BC58" s="1008"/>
      <c r="BD58" s="1008"/>
      <c r="BE58" s="1008"/>
      <c r="BF58" s="1008"/>
      <c r="BG58" s="1008"/>
      <c r="BH58" s="1008"/>
      <c r="BI58" s="1008"/>
      <c r="BJ58" s="1008"/>
      <c r="BK58" s="1008"/>
      <c r="BL58" s="1008"/>
      <c r="BM58" s="1008"/>
      <c r="BN58" s="1008"/>
      <c r="BO58" s="1008"/>
      <c r="BP58" s="1008"/>
      <c r="BQ58" s="1011">
        <f t="shared" si="25"/>
        <v>0</v>
      </c>
      <c r="BR58" s="1008">
        <f t="shared" si="35"/>
        <v>0</v>
      </c>
      <c r="BS58" s="1008">
        <f t="shared" si="36"/>
        <v>0</v>
      </c>
      <c r="BT58" s="1008"/>
      <c r="BU58" s="1008">
        <f t="shared" si="52"/>
        <v>0</v>
      </c>
      <c r="BV58" s="1008">
        <f t="shared" si="52"/>
        <v>0</v>
      </c>
      <c r="BW58" s="1008"/>
      <c r="BX58" s="1008">
        <f t="shared" si="38"/>
        <v>0</v>
      </c>
      <c r="BY58" s="1008">
        <f t="shared" si="38"/>
        <v>0</v>
      </c>
      <c r="BZ58" s="1008"/>
      <c r="CA58" s="1008"/>
      <c r="CB58" s="1008">
        <f>+AI58-BF58</f>
        <v>0</v>
      </c>
      <c r="CC58" s="1008"/>
      <c r="CD58" s="1008">
        <f t="shared" si="54"/>
        <v>0</v>
      </c>
      <c r="CE58" s="1008">
        <f t="shared" si="54"/>
        <v>0</v>
      </c>
      <c r="CF58" s="1008">
        <f t="shared" si="54"/>
        <v>0</v>
      </c>
      <c r="CG58" s="1008">
        <f>+AN58-BK58</f>
        <v>0</v>
      </c>
      <c r="CH58" s="1008">
        <f t="shared" si="55"/>
        <v>0</v>
      </c>
      <c r="CI58" s="1008">
        <f t="shared" si="55"/>
        <v>0</v>
      </c>
      <c r="CJ58" s="1008"/>
      <c r="CK58" s="1008"/>
      <c r="CL58" s="1008">
        <f t="shared" si="41"/>
        <v>0</v>
      </c>
      <c r="CM58" s="1011">
        <f t="shared" si="13"/>
        <v>0.37583727639503778</v>
      </c>
      <c r="CN58" s="1008">
        <f t="shared" si="42"/>
        <v>129011140</v>
      </c>
      <c r="CO58" s="1008"/>
      <c r="CP58" s="1008"/>
      <c r="CQ58" s="1008"/>
      <c r="CR58" s="1008">
        <f>+'[18]OCTUBRE 2015'!$H$2669+'[18]OCTUBRE 2015'!$H$2673</f>
        <v>129011140</v>
      </c>
      <c r="CS58" s="1008"/>
      <c r="CT58" s="1008"/>
      <c r="CU58" s="1008"/>
      <c r="CV58" s="1008"/>
      <c r="CW58" s="1008"/>
      <c r="CX58" s="1008"/>
      <c r="CY58" s="1008"/>
      <c r="CZ58" s="1008"/>
      <c r="DA58" s="1008"/>
      <c r="DB58" s="1008"/>
      <c r="DC58" s="1008"/>
      <c r="DD58" s="1008"/>
      <c r="DE58" s="1008"/>
      <c r="DF58" s="1008"/>
      <c r="DG58" s="1008"/>
      <c r="DH58" s="1008"/>
      <c r="DI58" s="1011">
        <f t="shared" si="15"/>
        <v>0.62416272360496228</v>
      </c>
      <c r="DJ58" s="1008">
        <f t="shared" si="43"/>
        <v>214252150</v>
      </c>
      <c r="DK58" s="1008"/>
      <c r="DL58" s="1008"/>
      <c r="DM58" s="1008"/>
      <c r="DN58" s="1008">
        <f t="shared" si="51"/>
        <v>214252150</v>
      </c>
      <c r="DO58" s="1008"/>
      <c r="DP58" s="1008">
        <f t="shared" si="45"/>
        <v>0</v>
      </c>
      <c r="DQ58" s="1008">
        <f t="shared" si="45"/>
        <v>0</v>
      </c>
      <c r="DR58" s="1008"/>
      <c r="DS58" s="1008">
        <f t="shared" si="46"/>
        <v>0</v>
      </c>
      <c r="DT58" s="1008">
        <f t="shared" si="46"/>
        <v>0</v>
      </c>
      <c r="DU58" s="1008"/>
      <c r="DV58" s="1008">
        <f t="shared" si="47"/>
        <v>0</v>
      </c>
      <c r="DW58" s="1008">
        <f t="shared" si="47"/>
        <v>0</v>
      </c>
      <c r="DX58" s="1008">
        <f t="shared" si="47"/>
        <v>0</v>
      </c>
      <c r="DY58" s="1008">
        <f t="shared" si="48"/>
        <v>0</v>
      </c>
      <c r="DZ58" s="1008">
        <f t="shared" si="48"/>
        <v>0</v>
      </c>
      <c r="EA58" s="1008">
        <f t="shared" si="48"/>
        <v>0</v>
      </c>
      <c r="EB58" s="1008">
        <f t="shared" si="48"/>
        <v>0</v>
      </c>
      <c r="EC58" s="1008"/>
      <c r="ED58" s="1008">
        <f t="shared" si="49"/>
        <v>0</v>
      </c>
    </row>
    <row r="59" spans="1:135" s="203" customFormat="1" ht="37.5" customHeight="1" x14ac:dyDescent="0.25">
      <c r="A59" s="1562"/>
      <c r="B59" s="1019"/>
      <c r="C59" s="1081" t="s">
        <v>4719</v>
      </c>
      <c r="D59" s="1019" t="s">
        <v>4720</v>
      </c>
      <c r="E59" s="1020">
        <v>410</v>
      </c>
      <c r="F59" s="1097" t="s">
        <v>4670</v>
      </c>
      <c r="G59" s="1401"/>
      <c r="H59" s="1061">
        <f t="shared" si="31"/>
        <v>0</v>
      </c>
      <c r="I59" s="1061">
        <f t="shared" si="32"/>
        <v>2000000</v>
      </c>
      <c r="J59" s="1401"/>
      <c r="K59" s="1284"/>
      <c r="L59" s="1284"/>
      <c r="M59" s="1083"/>
      <c r="N59" s="1083"/>
      <c r="O59" s="1083"/>
      <c r="P59" s="1075"/>
      <c r="Q59" s="1075"/>
      <c r="R59" s="1075"/>
      <c r="S59" s="1097"/>
      <c r="T59" s="1097"/>
      <c r="U59" s="1097"/>
      <c r="V59" s="1097"/>
      <c r="W59" s="1097"/>
      <c r="X59" s="1097"/>
      <c r="Y59" s="1067">
        <f t="shared" si="33"/>
        <v>2000000</v>
      </c>
      <c r="Z59" s="149"/>
      <c r="AA59" s="1084"/>
      <c r="AB59" s="1084"/>
      <c r="AC59" s="1067"/>
      <c r="AD59" s="1067"/>
      <c r="AE59" s="1084"/>
      <c r="AF59" s="1067"/>
      <c r="AG59" s="1067"/>
      <c r="AH59" s="1067"/>
      <c r="AI59" s="1067"/>
      <c r="AJ59" s="1067"/>
      <c r="AK59" s="1067"/>
      <c r="AL59" s="1067"/>
      <c r="AM59" s="1067"/>
      <c r="AN59" s="1067"/>
      <c r="AO59" s="1067"/>
      <c r="AP59" s="1067"/>
      <c r="AQ59" s="1067"/>
      <c r="AR59" s="1067"/>
      <c r="AS59" s="1067">
        <f>2000000</f>
        <v>2000000</v>
      </c>
      <c r="AU59" s="1082">
        <f t="shared" si="3"/>
        <v>1</v>
      </c>
      <c r="AV59" s="1067">
        <f t="shared" si="34"/>
        <v>2000000</v>
      </c>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f>+'[15]JULIO 2015'!$G$1634</f>
        <v>2000000</v>
      </c>
      <c r="BQ59" s="1082">
        <f t="shared" si="25"/>
        <v>0</v>
      </c>
      <c r="BR59" s="1067">
        <f t="shared" si="35"/>
        <v>0</v>
      </c>
      <c r="BS59" s="1067"/>
      <c r="BT59" s="1067"/>
      <c r="BU59" s="1067">
        <f t="shared" si="52"/>
        <v>0</v>
      </c>
      <c r="BV59" s="1067"/>
      <c r="BW59" s="1067"/>
      <c r="BX59" s="1067"/>
      <c r="BY59" s="1067"/>
      <c r="BZ59" s="1067"/>
      <c r="CA59" s="1067"/>
      <c r="CB59" s="1067"/>
      <c r="CC59" s="1067"/>
      <c r="CD59" s="1067"/>
      <c r="CE59" s="1067"/>
      <c r="CF59" s="1067"/>
      <c r="CG59" s="1067"/>
      <c r="CH59" s="1067"/>
      <c r="CI59" s="1067"/>
      <c r="CJ59" s="1067"/>
      <c r="CK59" s="1067"/>
      <c r="CL59" s="1067">
        <f t="shared" si="41"/>
        <v>0</v>
      </c>
      <c r="CM59" s="1082">
        <f t="shared" si="13"/>
        <v>0</v>
      </c>
      <c r="CN59" s="1067">
        <f t="shared" si="42"/>
        <v>0</v>
      </c>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82">
        <f t="shared" si="15"/>
        <v>1</v>
      </c>
      <c r="DJ59" s="1067">
        <f t="shared" si="43"/>
        <v>2000000</v>
      </c>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f t="shared" si="49"/>
        <v>2000000</v>
      </c>
    </row>
    <row r="60" spans="1:135" ht="33.75" customHeight="1" x14ac:dyDescent="0.25">
      <c r="A60" s="1562"/>
      <c r="B60" s="1019" t="s">
        <v>4315</v>
      </c>
      <c r="C60" s="1094" t="s">
        <v>4390</v>
      </c>
      <c r="D60" s="1019" t="s">
        <v>4329</v>
      </c>
      <c r="E60" s="1020">
        <v>410</v>
      </c>
      <c r="F60" s="1097" t="s">
        <v>3350</v>
      </c>
      <c r="G60" s="1097">
        <v>300000000</v>
      </c>
      <c r="H60" s="1061">
        <f t="shared" si="31"/>
        <v>214914190</v>
      </c>
      <c r="I60" s="1061">
        <f t="shared" si="32"/>
        <v>7904547</v>
      </c>
      <c r="J60" s="1097" t="s">
        <v>4838</v>
      </c>
      <c r="K60" s="1093" t="s">
        <v>4839</v>
      </c>
      <c r="L60" s="1093" t="s">
        <v>4838</v>
      </c>
      <c r="M60" s="1093">
        <v>23</v>
      </c>
      <c r="N60" s="1093">
        <v>100</v>
      </c>
      <c r="O60" s="1093">
        <v>23</v>
      </c>
      <c r="P60" s="1093">
        <v>78</v>
      </c>
      <c r="Q60" s="1093">
        <v>200</v>
      </c>
      <c r="R60" s="1093">
        <v>155</v>
      </c>
      <c r="S60" s="1097"/>
      <c r="T60" s="1097"/>
      <c r="U60" s="1097"/>
      <c r="V60" s="1097"/>
      <c r="W60" s="1097"/>
      <c r="X60" s="1097"/>
      <c r="Y60" s="1008">
        <f t="shared" si="33"/>
        <v>222818737</v>
      </c>
      <c r="Z60" s="944"/>
      <c r="AA60" s="1017">
        <f>55819123-55819123</f>
        <v>0</v>
      </c>
      <c r="AB60" s="1017"/>
      <c r="AC60" s="1008">
        <f>150000000-21362140</f>
        <v>128637860</v>
      </c>
      <c r="AD60" s="1008"/>
      <c r="AE60" s="1017">
        <f>150000000-55819123+20000000-20000000</f>
        <v>94180877</v>
      </c>
      <c r="AF60" s="944"/>
      <c r="AG60" s="944"/>
      <c r="AH60" s="944"/>
      <c r="AI60" s="1008"/>
      <c r="AJ60" s="1008"/>
      <c r="AK60" s="1008"/>
      <c r="AL60" s="1008"/>
      <c r="AM60" s="1008"/>
      <c r="AN60" s="1008"/>
      <c r="AO60" s="1008"/>
      <c r="AP60" s="1008"/>
      <c r="AQ60" s="1008"/>
      <c r="AR60" s="1008"/>
      <c r="AS60" s="1008"/>
      <c r="AU60" s="1011">
        <f t="shared" si="3"/>
        <v>0.9696859245728513</v>
      </c>
      <c r="AV60" s="1008">
        <f t="shared" si="34"/>
        <v>216064193</v>
      </c>
      <c r="AW60" s="1008"/>
      <c r="AX60" s="1008"/>
      <c r="AY60" s="1008"/>
      <c r="AZ60" s="1008">
        <f>+'[14]JUNIO 2015'!$M$1412</f>
        <v>128637860</v>
      </c>
      <c r="BA60" s="1008"/>
      <c r="BB60" s="1008">
        <f>+'[18]OCTUBRE 2015'!$O$2690</f>
        <v>87426333</v>
      </c>
      <c r="BC60" s="1008"/>
      <c r="BD60" s="1008"/>
      <c r="BE60" s="1008"/>
      <c r="BF60" s="1008"/>
      <c r="BG60" s="1008"/>
      <c r="BH60" s="1008"/>
      <c r="BI60" s="1008"/>
      <c r="BJ60" s="1008"/>
      <c r="BK60" s="1008"/>
      <c r="BL60" s="1008"/>
      <c r="BM60" s="1008"/>
      <c r="BN60" s="1008"/>
      <c r="BO60" s="1008"/>
      <c r="BP60" s="1008"/>
      <c r="BQ60" s="1011">
        <f t="shared" si="25"/>
        <v>3.0314075427148701E-2</v>
      </c>
      <c r="BR60" s="1008">
        <f t="shared" si="35"/>
        <v>6754544</v>
      </c>
      <c r="BS60" s="1008">
        <f t="shared" ref="BS60:BS66" si="56">+Z60-AW60</f>
        <v>0</v>
      </c>
      <c r="BT60" s="1008">
        <f>AA60-AX60</f>
        <v>0</v>
      </c>
      <c r="BU60" s="1008">
        <f t="shared" si="52"/>
        <v>0</v>
      </c>
      <c r="BV60" s="1008">
        <f t="shared" si="52"/>
        <v>0</v>
      </c>
      <c r="BW60" s="1008"/>
      <c r="BX60" s="1008">
        <f t="shared" ref="BX60:BY66" si="57">+AE60-BB60</f>
        <v>6754544</v>
      </c>
      <c r="BY60" s="1008">
        <f t="shared" si="57"/>
        <v>0</v>
      </c>
      <c r="BZ60" s="1008"/>
      <c r="CA60" s="1008"/>
      <c r="CB60" s="1008">
        <f t="shared" ref="CB60:CB66" si="58">+AI60-BF60</f>
        <v>0</v>
      </c>
      <c r="CC60" s="1008"/>
      <c r="CD60" s="1008">
        <f t="shared" ref="CD60:CI66" si="59">+AK60-BH60</f>
        <v>0</v>
      </c>
      <c r="CE60" s="1008">
        <f t="shared" si="59"/>
        <v>0</v>
      </c>
      <c r="CF60" s="1008">
        <f t="shared" si="59"/>
        <v>0</v>
      </c>
      <c r="CG60" s="1008">
        <f t="shared" si="59"/>
        <v>0</v>
      </c>
      <c r="CH60" s="1008">
        <f t="shared" si="59"/>
        <v>0</v>
      </c>
      <c r="CI60" s="1008">
        <f t="shared" si="59"/>
        <v>0</v>
      </c>
      <c r="CJ60" s="1008"/>
      <c r="CK60" s="1008"/>
      <c r="CL60" s="1008">
        <f t="shared" si="41"/>
        <v>0</v>
      </c>
      <c r="CM60" s="1011">
        <f t="shared" si="13"/>
        <v>0.96452476525795938</v>
      </c>
      <c r="CN60" s="1008">
        <f t="shared" si="42"/>
        <v>214914190</v>
      </c>
      <c r="CO60" s="1008"/>
      <c r="CP60" s="1008"/>
      <c r="CQ60" s="1008"/>
      <c r="CR60" s="1008">
        <f>+'[16]AGOSTO 2015'!$H$1852</f>
        <v>128637860</v>
      </c>
      <c r="CS60" s="1008"/>
      <c r="CT60" s="1008">
        <f>+'[17]SEPTIEMBRE 2015'!$H$2314+'[17]SEPTIEMBRE 2015'!$H$2332</f>
        <v>86276330</v>
      </c>
      <c r="CU60" s="1008"/>
      <c r="CV60" s="1008"/>
      <c r="CW60" s="1008"/>
      <c r="CX60" s="1008"/>
      <c r="CY60" s="1008"/>
      <c r="CZ60" s="1008"/>
      <c r="DA60" s="1008"/>
      <c r="DB60" s="1008"/>
      <c r="DC60" s="1008"/>
      <c r="DD60" s="1008"/>
      <c r="DE60" s="1008"/>
      <c r="DF60" s="1008"/>
      <c r="DG60" s="1008"/>
      <c r="DH60" s="1008"/>
      <c r="DI60" s="1011">
        <f t="shared" si="15"/>
        <v>3.5475234742040618E-2</v>
      </c>
      <c r="DJ60" s="1008">
        <f t="shared" si="43"/>
        <v>7904547</v>
      </c>
      <c r="DK60" s="1008"/>
      <c r="DL60" s="1008">
        <f>AA60-CP60</f>
        <v>0</v>
      </c>
      <c r="DM60" s="1008">
        <f>AB60-CQ60</f>
        <v>0</v>
      </c>
      <c r="DN60" s="1008">
        <f>AC60-CR60</f>
        <v>0</v>
      </c>
      <c r="DO60" s="1008"/>
      <c r="DP60" s="1008">
        <f t="shared" ref="DP60:DQ66" si="60">AE60-CT60</f>
        <v>7904547</v>
      </c>
      <c r="DQ60" s="1008">
        <f t="shared" si="60"/>
        <v>0</v>
      </c>
      <c r="DR60" s="1008"/>
      <c r="DS60" s="1008">
        <f t="shared" ref="DS60:DT66" si="61">+AH60-CW60</f>
        <v>0</v>
      </c>
      <c r="DT60" s="1008">
        <f t="shared" si="61"/>
        <v>0</v>
      </c>
      <c r="DU60" s="1008"/>
      <c r="DV60" s="1008">
        <f t="shared" ref="DV60:DX66" si="62">AK60-CZ60</f>
        <v>0</v>
      </c>
      <c r="DW60" s="1008">
        <f t="shared" si="62"/>
        <v>0</v>
      </c>
      <c r="DX60" s="1008">
        <f t="shared" si="62"/>
        <v>0</v>
      </c>
      <c r="DY60" s="1008">
        <f t="shared" ref="DY60:EB66" si="63">+AN60-DC60</f>
        <v>0</v>
      </c>
      <c r="DZ60" s="1008">
        <f t="shared" si="63"/>
        <v>0</v>
      </c>
      <c r="EA60" s="1008">
        <f t="shared" si="63"/>
        <v>0</v>
      </c>
      <c r="EB60" s="1008">
        <f t="shared" si="63"/>
        <v>0</v>
      </c>
      <c r="EC60" s="1008"/>
      <c r="ED60" s="1008">
        <f t="shared" si="49"/>
        <v>0</v>
      </c>
      <c r="EE60" s="948"/>
    </row>
    <row r="61" spans="1:135" ht="25.5" customHeight="1" x14ac:dyDescent="0.25">
      <c r="A61" s="1562"/>
      <c r="B61" s="1019" t="s">
        <v>4316</v>
      </c>
      <c r="C61" s="1094" t="s">
        <v>4391</v>
      </c>
      <c r="D61" s="1019" t="s">
        <v>4330</v>
      </c>
      <c r="E61" s="1020">
        <v>410</v>
      </c>
      <c r="F61" s="1097" t="s">
        <v>4335</v>
      </c>
      <c r="G61" s="1399">
        <v>225000000</v>
      </c>
      <c r="H61" s="1061">
        <f t="shared" si="31"/>
        <v>0</v>
      </c>
      <c r="I61" s="1061">
        <f t="shared" si="32"/>
        <v>5000000</v>
      </c>
      <c r="J61" s="1097" t="s">
        <v>4840</v>
      </c>
      <c r="K61" s="1093" t="s">
        <v>4841</v>
      </c>
      <c r="L61" s="1093" t="s">
        <v>4847</v>
      </c>
      <c r="M61" s="1093">
        <v>0</v>
      </c>
      <c r="N61" s="1093">
        <v>0</v>
      </c>
      <c r="O61" s="1093">
        <v>0</v>
      </c>
      <c r="P61" s="1093">
        <v>0</v>
      </c>
      <c r="Q61" s="1093">
        <v>0</v>
      </c>
      <c r="R61" s="1093">
        <v>0</v>
      </c>
      <c r="S61" s="1097"/>
      <c r="T61" s="1097"/>
      <c r="U61" s="1097"/>
      <c r="V61" s="1097"/>
      <c r="W61" s="1097"/>
      <c r="X61" s="1097"/>
      <c r="Y61" s="1008">
        <f t="shared" si="33"/>
        <v>5000000</v>
      </c>
      <c r="Z61" s="944"/>
      <c r="AA61" s="944"/>
      <c r="AB61" s="944"/>
      <c r="AC61" s="1008"/>
      <c r="AD61" s="1008"/>
      <c r="AE61" s="944"/>
      <c r="AF61" s="944"/>
      <c r="AG61" s="944"/>
      <c r="AH61" s="944"/>
      <c r="AI61" s="1008"/>
      <c r="AJ61" s="1008"/>
      <c r="AK61" s="1008"/>
      <c r="AL61" s="1008"/>
      <c r="AM61" s="1008"/>
      <c r="AN61" s="1008"/>
      <c r="AO61" s="1008"/>
      <c r="AP61" s="1008"/>
      <c r="AQ61" s="1008"/>
      <c r="AR61" s="1008"/>
      <c r="AS61" s="1008">
        <f>5000000</f>
        <v>5000000</v>
      </c>
      <c r="AU61" s="1011">
        <f t="shared" si="3"/>
        <v>1</v>
      </c>
      <c r="AV61" s="1008">
        <f t="shared" si="34"/>
        <v>5000000</v>
      </c>
      <c r="AW61" s="1008"/>
      <c r="AX61" s="1008"/>
      <c r="AY61" s="1008"/>
      <c r="AZ61" s="1008"/>
      <c r="BA61" s="1008"/>
      <c r="BB61" s="1008"/>
      <c r="BC61" s="1008"/>
      <c r="BD61" s="1008"/>
      <c r="BE61" s="1008"/>
      <c r="BF61" s="1008"/>
      <c r="BG61" s="1008"/>
      <c r="BH61" s="1008"/>
      <c r="BI61" s="1008"/>
      <c r="BJ61" s="1008"/>
      <c r="BK61" s="1008"/>
      <c r="BL61" s="1008"/>
      <c r="BM61" s="1008"/>
      <c r="BN61" s="1008"/>
      <c r="BO61" s="1008"/>
      <c r="BP61" s="1008">
        <f>+'[9]FEBRERO 2015'!$AC$685</f>
        <v>5000000</v>
      </c>
      <c r="BQ61" s="1011">
        <f t="shared" si="25"/>
        <v>0</v>
      </c>
      <c r="BR61" s="1008">
        <f t="shared" si="35"/>
        <v>0</v>
      </c>
      <c r="BS61" s="1008">
        <f t="shared" si="56"/>
        <v>0</v>
      </c>
      <c r="BT61" s="1008"/>
      <c r="BU61" s="1008">
        <f t="shared" si="52"/>
        <v>0</v>
      </c>
      <c r="BV61" s="1008">
        <f t="shared" si="52"/>
        <v>0</v>
      </c>
      <c r="BW61" s="1008"/>
      <c r="BX61" s="1008">
        <f t="shared" si="57"/>
        <v>0</v>
      </c>
      <c r="BY61" s="1008">
        <f t="shared" si="57"/>
        <v>0</v>
      </c>
      <c r="BZ61" s="1008"/>
      <c r="CA61" s="1008"/>
      <c r="CB61" s="1008">
        <f t="shared" si="58"/>
        <v>0</v>
      </c>
      <c r="CC61" s="1008"/>
      <c r="CD61" s="1008">
        <f t="shared" si="59"/>
        <v>0</v>
      </c>
      <c r="CE61" s="1008">
        <f t="shared" si="59"/>
        <v>0</v>
      </c>
      <c r="CF61" s="1008">
        <f t="shared" si="59"/>
        <v>0</v>
      </c>
      <c r="CG61" s="1008">
        <f t="shared" si="59"/>
        <v>0</v>
      </c>
      <c r="CH61" s="1008">
        <f t="shared" si="59"/>
        <v>0</v>
      </c>
      <c r="CI61" s="1008">
        <f t="shared" si="59"/>
        <v>0</v>
      </c>
      <c r="CJ61" s="1008"/>
      <c r="CK61" s="1008"/>
      <c r="CL61" s="1008">
        <f t="shared" si="41"/>
        <v>0</v>
      </c>
      <c r="CM61" s="1011">
        <f t="shared" si="13"/>
        <v>0</v>
      </c>
      <c r="CN61" s="1008">
        <f t="shared" si="42"/>
        <v>0</v>
      </c>
      <c r="CO61" s="1008"/>
      <c r="CP61" s="1008"/>
      <c r="CQ61" s="1008"/>
      <c r="CR61" s="1008"/>
      <c r="CS61" s="1008"/>
      <c r="CT61" s="1008"/>
      <c r="CU61" s="1008"/>
      <c r="CV61" s="1008"/>
      <c r="CW61" s="1008"/>
      <c r="CX61" s="1008"/>
      <c r="CY61" s="1008"/>
      <c r="CZ61" s="1008"/>
      <c r="DA61" s="1008"/>
      <c r="DB61" s="1008"/>
      <c r="DC61" s="1008"/>
      <c r="DD61" s="1008"/>
      <c r="DE61" s="1008"/>
      <c r="DF61" s="1008"/>
      <c r="DG61" s="1008"/>
      <c r="DH61" s="1008"/>
      <c r="DI61" s="1011">
        <f t="shared" si="15"/>
        <v>1</v>
      </c>
      <c r="DJ61" s="1008">
        <f t="shared" si="43"/>
        <v>5000000</v>
      </c>
      <c r="DK61" s="1008"/>
      <c r="DL61" s="1008"/>
      <c r="DM61" s="1008"/>
      <c r="DN61" s="1008">
        <f t="shared" ref="DN61:DN66" si="64">AC61-CR61</f>
        <v>0</v>
      </c>
      <c r="DO61" s="1008"/>
      <c r="DP61" s="1008">
        <f t="shared" si="60"/>
        <v>0</v>
      </c>
      <c r="DQ61" s="1008">
        <f t="shared" si="60"/>
        <v>0</v>
      </c>
      <c r="DR61" s="1008"/>
      <c r="DS61" s="1008">
        <f t="shared" si="61"/>
        <v>0</v>
      </c>
      <c r="DT61" s="1008">
        <f t="shared" si="61"/>
        <v>0</v>
      </c>
      <c r="DU61" s="1008"/>
      <c r="DV61" s="1008">
        <f t="shared" si="62"/>
        <v>0</v>
      </c>
      <c r="DW61" s="1008">
        <f t="shared" si="62"/>
        <v>0</v>
      </c>
      <c r="DX61" s="1008">
        <f t="shared" si="62"/>
        <v>0</v>
      </c>
      <c r="DY61" s="1008">
        <f t="shared" si="63"/>
        <v>0</v>
      </c>
      <c r="DZ61" s="1008">
        <f t="shared" si="63"/>
        <v>0</v>
      </c>
      <c r="EA61" s="1008">
        <f t="shared" si="63"/>
        <v>0</v>
      </c>
      <c r="EB61" s="1008">
        <f t="shared" si="63"/>
        <v>0</v>
      </c>
      <c r="EC61" s="1008"/>
      <c r="ED61" s="1008">
        <f t="shared" si="49"/>
        <v>5000000</v>
      </c>
    </row>
    <row r="62" spans="1:135" ht="47.25" customHeight="1" x14ac:dyDescent="0.25">
      <c r="A62" s="1562"/>
      <c r="B62" s="1019"/>
      <c r="C62" s="1094" t="s">
        <v>4392</v>
      </c>
      <c r="D62" s="1019" t="s">
        <v>4337</v>
      </c>
      <c r="E62" s="1020">
        <v>410</v>
      </c>
      <c r="F62" s="1097" t="s">
        <v>4319</v>
      </c>
      <c r="G62" s="1400"/>
      <c r="H62" s="1061">
        <f t="shared" si="31"/>
        <v>52722999</v>
      </c>
      <c r="I62" s="1061">
        <f t="shared" si="32"/>
        <v>37277001</v>
      </c>
      <c r="J62" s="1097" t="s">
        <v>4842</v>
      </c>
      <c r="K62" s="1093" t="s">
        <v>4843</v>
      </c>
      <c r="L62" s="1093" t="s">
        <v>4848</v>
      </c>
      <c r="M62" s="1093">
        <v>13</v>
      </c>
      <c r="N62" s="1093">
        <v>0</v>
      </c>
      <c r="O62" s="1093">
        <v>0</v>
      </c>
      <c r="P62" s="1093">
        <v>18</v>
      </c>
      <c r="Q62" s="1093">
        <v>60</v>
      </c>
      <c r="R62" s="1093">
        <v>11</v>
      </c>
      <c r="S62" s="1097"/>
      <c r="T62" s="1097"/>
      <c r="U62" s="1097"/>
      <c r="V62" s="1097"/>
      <c r="W62" s="1097"/>
      <c r="X62" s="1097"/>
      <c r="Y62" s="1008">
        <f t="shared" si="33"/>
        <v>90000000</v>
      </c>
      <c r="Z62" s="944"/>
      <c r="AA62" s="944"/>
      <c r="AB62" s="944"/>
      <c r="AC62" s="1008"/>
      <c r="AD62" s="1008"/>
      <c r="AE62" s="944"/>
      <c r="AF62" s="944"/>
      <c r="AG62" s="944"/>
      <c r="AH62" s="944"/>
      <c r="AI62" s="1008"/>
      <c r="AJ62" s="1008"/>
      <c r="AK62" s="1008"/>
      <c r="AL62" s="1008"/>
      <c r="AM62" s="1008"/>
      <c r="AN62" s="1008">
        <v>15000000</v>
      </c>
      <c r="AO62" s="1008">
        <f>105000000-30000000</f>
        <v>75000000</v>
      </c>
      <c r="AP62" s="1008"/>
      <c r="AQ62" s="1008"/>
      <c r="AR62" s="1008"/>
      <c r="AS62" s="1008"/>
      <c r="AU62" s="1011">
        <f t="shared" si="3"/>
        <v>1</v>
      </c>
      <c r="AV62" s="1008">
        <f t="shared" si="34"/>
        <v>90000000</v>
      </c>
      <c r="AW62" s="1008"/>
      <c r="AX62" s="1008"/>
      <c r="AY62" s="1008"/>
      <c r="AZ62" s="1008"/>
      <c r="BA62" s="1008"/>
      <c r="BB62" s="1008"/>
      <c r="BC62" s="1008"/>
      <c r="BD62" s="1008"/>
      <c r="BE62" s="1008"/>
      <c r="BF62" s="1008"/>
      <c r="BG62" s="1008"/>
      <c r="BH62" s="1008"/>
      <c r="BI62" s="1008"/>
      <c r="BJ62" s="1008"/>
      <c r="BK62" s="1008">
        <f>+'[8]FEBRERO 2015'!$W$740</f>
        <v>15000000</v>
      </c>
      <c r="BL62" s="1008">
        <f>+'[18]OCTUBRE 2015'!$Y$2724</f>
        <v>75000000</v>
      </c>
      <c r="BM62" s="1008"/>
      <c r="BN62" s="1008"/>
      <c r="BO62" s="1008"/>
      <c r="BP62" s="1008"/>
      <c r="BQ62" s="1011">
        <f t="shared" si="25"/>
        <v>0</v>
      </c>
      <c r="BR62" s="1008">
        <f t="shared" si="35"/>
        <v>0</v>
      </c>
      <c r="BS62" s="1008">
        <f t="shared" si="56"/>
        <v>0</v>
      </c>
      <c r="BT62" s="1008"/>
      <c r="BU62" s="1008">
        <f t="shared" si="52"/>
        <v>0</v>
      </c>
      <c r="BV62" s="1008">
        <f t="shared" si="52"/>
        <v>0</v>
      </c>
      <c r="BW62" s="1008"/>
      <c r="BX62" s="1008">
        <f t="shared" si="57"/>
        <v>0</v>
      </c>
      <c r="BY62" s="1008">
        <f t="shared" si="57"/>
        <v>0</v>
      </c>
      <c r="BZ62" s="1008"/>
      <c r="CA62" s="1008"/>
      <c r="CB62" s="1008">
        <f t="shared" si="58"/>
        <v>0</v>
      </c>
      <c r="CC62" s="1008"/>
      <c r="CD62" s="1008">
        <f t="shared" si="59"/>
        <v>0</v>
      </c>
      <c r="CE62" s="1008">
        <f t="shared" si="59"/>
        <v>0</v>
      </c>
      <c r="CF62" s="1008">
        <f t="shared" si="59"/>
        <v>0</v>
      </c>
      <c r="CG62" s="1008">
        <f t="shared" si="59"/>
        <v>0</v>
      </c>
      <c r="CH62" s="1008">
        <f t="shared" si="59"/>
        <v>0</v>
      </c>
      <c r="CI62" s="1008">
        <f t="shared" si="59"/>
        <v>0</v>
      </c>
      <c r="CJ62" s="1008"/>
      <c r="CK62" s="1008"/>
      <c r="CL62" s="1008">
        <f t="shared" si="41"/>
        <v>0</v>
      </c>
      <c r="CM62" s="1011">
        <f t="shared" si="13"/>
        <v>0.58581110000000003</v>
      </c>
      <c r="CN62" s="1008">
        <f t="shared" si="42"/>
        <v>52722999</v>
      </c>
      <c r="CO62" s="1008"/>
      <c r="CP62" s="1008"/>
      <c r="CQ62" s="1008"/>
      <c r="CR62" s="1008"/>
      <c r="CS62" s="1008"/>
      <c r="CT62" s="1008"/>
      <c r="CU62" s="1008"/>
      <c r="CV62" s="1008"/>
      <c r="CW62" s="1008"/>
      <c r="CX62" s="1008"/>
      <c r="CY62" s="1008"/>
      <c r="CZ62" s="1008"/>
      <c r="DA62" s="1008"/>
      <c r="DB62" s="1008"/>
      <c r="DC62" s="1008">
        <f>+'[11]ABRIL 2015'!$H$1101</f>
        <v>15000000</v>
      </c>
      <c r="DD62" s="1008">
        <f>+'[18]OCTUBRE 2015'!$H$2725+'[18]OCTUBRE 2015'!$H$2734</f>
        <v>37722999</v>
      </c>
      <c r="DE62" s="1008"/>
      <c r="DF62" s="1008"/>
      <c r="DG62" s="1008"/>
      <c r="DH62" s="1008"/>
      <c r="DI62" s="1011">
        <f t="shared" si="15"/>
        <v>0.41418889999999997</v>
      </c>
      <c r="DJ62" s="1008">
        <f t="shared" si="43"/>
        <v>37277001</v>
      </c>
      <c r="DK62" s="1008"/>
      <c r="DL62" s="1008"/>
      <c r="DM62" s="1008"/>
      <c r="DN62" s="1008">
        <f t="shared" si="64"/>
        <v>0</v>
      </c>
      <c r="DO62" s="1008"/>
      <c r="DP62" s="1008">
        <f t="shared" si="60"/>
        <v>0</v>
      </c>
      <c r="DQ62" s="1008">
        <f t="shared" si="60"/>
        <v>0</v>
      </c>
      <c r="DR62" s="1008"/>
      <c r="DS62" s="1008">
        <f t="shared" si="61"/>
        <v>0</v>
      </c>
      <c r="DT62" s="1008">
        <f t="shared" si="61"/>
        <v>0</v>
      </c>
      <c r="DU62" s="1008"/>
      <c r="DV62" s="1008">
        <f t="shared" si="62"/>
        <v>0</v>
      </c>
      <c r="DW62" s="1008">
        <f t="shared" si="62"/>
        <v>0</v>
      </c>
      <c r="DX62" s="1008">
        <f t="shared" si="62"/>
        <v>0</v>
      </c>
      <c r="DY62" s="1008">
        <f t="shared" si="63"/>
        <v>0</v>
      </c>
      <c r="DZ62" s="1008">
        <f t="shared" si="63"/>
        <v>37277001</v>
      </c>
      <c r="EA62" s="1008">
        <f t="shared" si="63"/>
        <v>0</v>
      </c>
      <c r="EB62" s="1008">
        <f t="shared" si="63"/>
        <v>0</v>
      </c>
      <c r="EC62" s="1008"/>
      <c r="ED62" s="1008">
        <f t="shared" si="49"/>
        <v>0</v>
      </c>
    </row>
    <row r="63" spans="1:135" ht="49.5" customHeight="1" x14ac:dyDescent="0.25">
      <c r="A63" s="1562"/>
      <c r="B63" s="1019"/>
      <c r="C63" s="1094" t="s">
        <v>4393</v>
      </c>
      <c r="D63" s="1019" t="s">
        <v>4331</v>
      </c>
      <c r="E63" s="1020">
        <v>410</v>
      </c>
      <c r="F63" s="1097" t="s">
        <v>4319</v>
      </c>
      <c r="G63" s="1400"/>
      <c r="H63" s="1061">
        <f t="shared" si="31"/>
        <v>3078500</v>
      </c>
      <c r="I63" s="1061">
        <f t="shared" si="32"/>
        <v>1921500</v>
      </c>
      <c r="J63" s="1399" t="s">
        <v>4844</v>
      </c>
      <c r="K63" s="1283" t="s">
        <v>4845</v>
      </c>
      <c r="L63" s="1283" t="s">
        <v>4849</v>
      </c>
      <c r="M63" s="1093">
        <v>62</v>
      </c>
      <c r="N63" s="1093">
        <v>100</v>
      </c>
      <c r="O63" s="1093">
        <v>62</v>
      </c>
      <c r="P63" s="1093">
        <v>62</v>
      </c>
      <c r="Q63" s="1093">
        <v>100</v>
      </c>
      <c r="R63" s="1093">
        <v>62</v>
      </c>
      <c r="S63" s="1097"/>
      <c r="T63" s="1097"/>
      <c r="U63" s="1097"/>
      <c r="V63" s="1097"/>
      <c r="W63" s="1097"/>
      <c r="X63" s="1097"/>
      <c r="Y63" s="1008">
        <f t="shared" si="33"/>
        <v>5000000</v>
      </c>
      <c r="Z63" s="944"/>
      <c r="AA63" s="944"/>
      <c r="AB63" s="944"/>
      <c r="AC63" s="1008"/>
      <c r="AD63" s="1008"/>
      <c r="AE63" s="944"/>
      <c r="AF63" s="944"/>
      <c r="AG63" s="944"/>
      <c r="AH63" s="944"/>
      <c r="AI63" s="1008"/>
      <c r="AJ63" s="1008"/>
      <c r="AK63" s="1008"/>
      <c r="AL63" s="1008"/>
      <c r="AM63" s="1008"/>
      <c r="AN63" s="1008"/>
      <c r="AO63" s="1008">
        <v>5000000</v>
      </c>
      <c r="AP63" s="1008"/>
      <c r="AQ63" s="1008"/>
      <c r="AR63" s="1008"/>
      <c r="AS63" s="1008"/>
      <c r="AU63" s="1011">
        <f t="shared" si="3"/>
        <v>1</v>
      </c>
      <c r="AV63" s="1008">
        <f t="shared" si="34"/>
        <v>5000000</v>
      </c>
      <c r="AW63" s="1008"/>
      <c r="AX63" s="1008"/>
      <c r="AY63" s="1008"/>
      <c r="AZ63" s="1008"/>
      <c r="BA63" s="1008"/>
      <c r="BB63" s="1008"/>
      <c r="BC63" s="1008"/>
      <c r="BD63" s="1008"/>
      <c r="BE63" s="1008"/>
      <c r="BF63" s="1008"/>
      <c r="BG63" s="1008"/>
      <c r="BH63" s="1008"/>
      <c r="BI63" s="1008"/>
      <c r="BJ63" s="1008"/>
      <c r="BK63" s="1008"/>
      <c r="BL63" s="1008">
        <f>+'[9]FEBRERO 2015'!$X$695</f>
        <v>5000000</v>
      </c>
      <c r="BM63" s="1008"/>
      <c r="BN63" s="1008"/>
      <c r="BO63" s="1008"/>
      <c r="BP63" s="1008"/>
      <c r="BQ63" s="1011">
        <f t="shared" si="25"/>
        <v>0</v>
      </c>
      <c r="BR63" s="1008">
        <f t="shared" si="35"/>
        <v>0</v>
      </c>
      <c r="BS63" s="1008">
        <f t="shared" si="56"/>
        <v>0</v>
      </c>
      <c r="BT63" s="1008"/>
      <c r="BU63" s="1008">
        <f t="shared" ref="BU63:BV66" si="65">AB63-AY63</f>
        <v>0</v>
      </c>
      <c r="BV63" s="1008">
        <f t="shared" si="65"/>
        <v>0</v>
      </c>
      <c r="BW63" s="1008"/>
      <c r="BX63" s="1008">
        <f t="shared" si="57"/>
        <v>0</v>
      </c>
      <c r="BY63" s="1008">
        <f t="shared" si="57"/>
        <v>0</v>
      </c>
      <c r="BZ63" s="1008"/>
      <c r="CA63" s="1008"/>
      <c r="CB63" s="1008">
        <f t="shared" si="58"/>
        <v>0</v>
      </c>
      <c r="CC63" s="1008"/>
      <c r="CD63" s="1008">
        <f t="shared" si="59"/>
        <v>0</v>
      </c>
      <c r="CE63" s="1008">
        <f t="shared" si="59"/>
        <v>0</v>
      </c>
      <c r="CF63" s="1008">
        <f t="shared" si="59"/>
        <v>0</v>
      </c>
      <c r="CG63" s="1008">
        <f t="shared" si="59"/>
        <v>0</v>
      </c>
      <c r="CH63" s="1008">
        <f t="shared" si="59"/>
        <v>0</v>
      </c>
      <c r="CI63" s="1008">
        <f t="shared" si="59"/>
        <v>0</v>
      </c>
      <c r="CJ63" s="1008"/>
      <c r="CK63" s="1008"/>
      <c r="CL63" s="1008">
        <f t="shared" si="41"/>
        <v>0</v>
      </c>
      <c r="CM63" s="1011">
        <f t="shared" si="13"/>
        <v>0.61570000000000003</v>
      </c>
      <c r="CN63" s="1008">
        <f t="shared" si="42"/>
        <v>3078500</v>
      </c>
      <c r="CO63" s="1008"/>
      <c r="CP63" s="1008"/>
      <c r="CQ63" s="1008"/>
      <c r="CR63" s="1008"/>
      <c r="CS63" s="1008"/>
      <c r="CT63" s="1008"/>
      <c r="CU63" s="1008"/>
      <c r="CV63" s="1008"/>
      <c r="CW63" s="1008"/>
      <c r="CX63" s="1008"/>
      <c r="CY63" s="1008"/>
      <c r="CZ63" s="1008"/>
      <c r="DA63" s="1008"/>
      <c r="DB63" s="1008"/>
      <c r="DC63" s="1008"/>
      <c r="DD63" s="1008">
        <f>+'[11]ABRIL 2015'!$H$1104</f>
        <v>3078500</v>
      </c>
      <c r="DE63" s="1008"/>
      <c r="DF63" s="1008"/>
      <c r="DG63" s="1008"/>
      <c r="DH63" s="1008"/>
      <c r="DI63" s="1011">
        <f t="shared" si="15"/>
        <v>0.38429999999999997</v>
      </c>
      <c r="DJ63" s="1008">
        <f t="shared" si="43"/>
        <v>1921500</v>
      </c>
      <c r="DK63" s="1008"/>
      <c r="DL63" s="1008"/>
      <c r="DM63" s="1008"/>
      <c r="DN63" s="1008">
        <f t="shared" si="64"/>
        <v>0</v>
      </c>
      <c r="DO63" s="1008"/>
      <c r="DP63" s="1008">
        <f t="shared" si="60"/>
        <v>0</v>
      </c>
      <c r="DQ63" s="1008">
        <f t="shared" si="60"/>
        <v>0</v>
      </c>
      <c r="DR63" s="1008"/>
      <c r="DS63" s="1008">
        <f t="shared" si="61"/>
        <v>0</v>
      </c>
      <c r="DT63" s="1008">
        <f t="shared" si="61"/>
        <v>0</v>
      </c>
      <c r="DU63" s="1008"/>
      <c r="DV63" s="1008">
        <f t="shared" si="62"/>
        <v>0</v>
      </c>
      <c r="DW63" s="1008">
        <f t="shared" si="62"/>
        <v>0</v>
      </c>
      <c r="DX63" s="1008">
        <f t="shared" si="62"/>
        <v>0</v>
      </c>
      <c r="DY63" s="1008">
        <f t="shared" si="63"/>
        <v>0</v>
      </c>
      <c r="DZ63" s="1008">
        <f t="shared" si="63"/>
        <v>1921500</v>
      </c>
      <c r="EA63" s="1008">
        <f t="shared" si="63"/>
        <v>0</v>
      </c>
      <c r="EB63" s="1008">
        <f t="shared" si="63"/>
        <v>0</v>
      </c>
      <c r="EC63" s="1008"/>
      <c r="ED63" s="1008">
        <f t="shared" si="49"/>
        <v>0</v>
      </c>
    </row>
    <row r="64" spans="1:135" ht="51" customHeight="1" x14ac:dyDescent="0.25">
      <c r="A64" s="1562"/>
      <c r="B64" s="1019"/>
      <c r="C64" s="1094" t="s">
        <v>4394</v>
      </c>
      <c r="D64" s="1019" t="s">
        <v>4820</v>
      </c>
      <c r="E64" s="1020">
        <v>410</v>
      </c>
      <c r="F64" s="1097" t="s">
        <v>4733</v>
      </c>
      <c r="G64" s="1400"/>
      <c r="H64" s="1061">
        <f t="shared" si="31"/>
        <v>22799959</v>
      </c>
      <c r="I64" s="1061">
        <f t="shared" si="32"/>
        <v>44474801</v>
      </c>
      <c r="J64" s="1401"/>
      <c r="K64" s="1284"/>
      <c r="L64" s="1284"/>
      <c r="M64" s="1093">
        <v>6</v>
      </c>
      <c r="N64" s="1093">
        <v>0</v>
      </c>
      <c r="O64" s="1093">
        <v>0</v>
      </c>
      <c r="P64" s="1093">
        <v>19</v>
      </c>
      <c r="Q64" s="1093">
        <v>0</v>
      </c>
      <c r="R64" s="1093">
        <v>0</v>
      </c>
      <c r="S64" s="1097"/>
      <c r="T64" s="1097"/>
      <c r="U64" s="1097"/>
      <c r="V64" s="1097"/>
      <c r="W64" s="1097"/>
      <c r="X64" s="1097"/>
      <c r="Y64" s="1008">
        <f t="shared" si="33"/>
        <v>67274760</v>
      </c>
      <c r="Z64" s="944"/>
      <c r="AA64" s="944"/>
      <c r="AB64" s="944"/>
      <c r="AC64" s="944"/>
      <c r="AD64" s="944"/>
      <c r="AE64" s="944"/>
      <c r="AF64" s="944"/>
      <c r="AG64" s="944"/>
      <c r="AH64" s="944"/>
      <c r="AI64" s="1008"/>
      <c r="AJ64" s="1008"/>
      <c r="AK64" s="1008"/>
      <c r="AL64" s="1008"/>
      <c r="AM64" s="1008"/>
      <c r="AN64" s="1008">
        <v>15000000</v>
      </c>
      <c r="AO64" s="1008">
        <f>55000000-10000000</f>
        <v>45000000</v>
      </c>
      <c r="AP64" s="1008"/>
      <c r="AQ64" s="1008"/>
      <c r="AR64" s="1008"/>
      <c r="AS64" s="1008">
        <f>4000000+3274760</f>
        <v>7274760</v>
      </c>
      <c r="AU64" s="1011">
        <f t="shared" si="3"/>
        <v>0.99995540675284456</v>
      </c>
      <c r="AV64" s="1008">
        <f t="shared" si="34"/>
        <v>67271760</v>
      </c>
      <c r="AW64" s="1008"/>
      <c r="AX64" s="1008"/>
      <c r="AY64" s="1008"/>
      <c r="AZ64" s="1008"/>
      <c r="BA64" s="1008"/>
      <c r="BB64" s="1008"/>
      <c r="BC64" s="1008"/>
      <c r="BD64" s="1008"/>
      <c r="BE64" s="1008"/>
      <c r="BF64" s="1008"/>
      <c r="BG64" s="1008"/>
      <c r="BH64" s="1008"/>
      <c r="BI64" s="1008"/>
      <c r="BJ64" s="1008"/>
      <c r="BK64" s="1008">
        <f>+'[8]FEBRERO 2015'!$W$753</f>
        <v>15000000</v>
      </c>
      <c r="BL64" s="1008">
        <f>+'[14]JUNIO 2015'!$Y$1453</f>
        <v>45000000</v>
      </c>
      <c r="BM64" s="1008"/>
      <c r="BN64" s="1008"/>
      <c r="BO64" s="1008"/>
      <c r="BP64" s="1008">
        <f>+'[17]SEPTIEMBRE 2015'!$AD$2368</f>
        <v>7271760</v>
      </c>
      <c r="BQ64" s="1011">
        <f t="shared" si="25"/>
        <v>4.4593247155444438E-5</v>
      </c>
      <c r="BR64" s="1008">
        <f t="shared" si="35"/>
        <v>3000</v>
      </c>
      <c r="BS64" s="1008">
        <f t="shared" si="56"/>
        <v>0</v>
      </c>
      <c r="BT64" s="1008"/>
      <c r="BU64" s="1008">
        <f t="shared" si="65"/>
        <v>0</v>
      </c>
      <c r="BV64" s="1008">
        <f t="shared" si="65"/>
        <v>0</v>
      </c>
      <c r="BW64" s="1008"/>
      <c r="BX64" s="1008">
        <f t="shared" si="57"/>
        <v>0</v>
      </c>
      <c r="BY64" s="1008">
        <f t="shared" si="57"/>
        <v>0</v>
      </c>
      <c r="BZ64" s="1008"/>
      <c r="CA64" s="1008"/>
      <c r="CB64" s="1008">
        <f t="shared" si="58"/>
        <v>0</v>
      </c>
      <c r="CC64" s="1008"/>
      <c r="CD64" s="1008">
        <f t="shared" si="59"/>
        <v>0</v>
      </c>
      <c r="CE64" s="1008">
        <f t="shared" si="59"/>
        <v>0</v>
      </c>
      <c r="CF64" s="1008">
        <f t="shared" si="59"/>
        <v>0</v>
      </c>
      <c r="CG64" s="1008">
        <f t="shared" si="59"/>
        <v>0</v>
      </c>
      <c r="CH64" s="1008">
        <f t="shared" si="59"/>
        <v>0</v>
      </c>
      <c r="CI64" s="1008">
        <f t="shared" si="59"/>
        <v>0</v>
      </c>
      <c r="CJ64" s="1008"/>
      <c r="CK64" s="1008"/>
      <c r="CL64" s="1008">
        <f t="shared" si="41"/>
        <v>3000</v>
      </c>
      <c r="CM64" s="1011">
        <f t="shared" si="13"/>
        <v>0.33890806893997094</v>
      </c>
      <c r="CN64" s="1008">
        <f t="shared" si="42"/>
        <v>22799959</v>
      </c>
      <c r="CO64" s="1008"/>
      <c r="CP64" s="1008"/>
      <c r="CQ64" s="1008"/>
      <c r="CR64" s="1008"/>
      <c r="CS64" s="1008"/>
      <c r="CT64" s="1008"/>
      <c r="CU64" s="1008"/>
      <c r="CV64" s="1008"/>
      <c r="CW64" s="1008"/>
      <c r="CX64" s="1008"/>
      <c r="CY64" s="1008"/>
      <c r="CZ64" s="1008"/>
      <c r="DA64" s="1008"/>
      <c r="DB64" s="1008"/>
      <c r="DC64" s="1008">
        <f>+'[18]OCTUBRE 2015'!$H$2760</f>
        <v>15000000</v>
      </c>
      <c r="DD64" s="1008">
        <f>+'[18]OCTUBRE 2015'!$H$2750</f>
        <v>7799959</v>
      </c>
      <c r="DE64" s="1008"/>
      <c r="DF64" s="1008"/>
      <c r="DG64" s="1008"/>
      <c r="DH64" s="1008"/>
      <c r="DI64" s="1011">
        <f t="shared" si="15"/>
        <v>0.66109193106002906</v>
      </c>
      <c r="DJ64" s="1008">
        <f t="shared" si="43"/>
        <v>44474801</v>
      </c>
      <c r="DK64" s="1008"/>
      <c r="DL64" s="1008"/>
      <c r="DM64" s="1008"/>
      <c r="DN64" s="1008">
        <f t="shared" si="64"/>
        <v>0</v>
      </c>
      <c r="DO64" s="1008"/>
      <c r="DP64" s="1008">
        <f t="shared" si="60"/>
        <v>0</v>
      </c>
      <c r="DQ64" s="1008">
        <f t="shared" si="60"/>
        <v>0</v>
      </c>
      <c r="DR64" s="1008"/>
      <c r="DS64" s="1008">
        <f t="shared" si="61"/>
        <v>0</v>
      </c>
      <c r="DT64" s="1008">
        <f t="shared" si="61"/>
        <v>0</v>
      </c>
      <c r="DU64" s="1008"/>
      <c r="DV64" s="1008">
        <f t="shared" si="62"/>
        <v>0</v>
      </c>
      <c r="DW64" s="1008">
        <f t="shared" si="62"/>
        <v>0</v>
      </c>
      <c r="DX64" s="1008">
        <f t="shared" si="62"/>
        <v>0</v>
      </c>
      <c r="DY64" s="1008">
        <f t="shared" si="63"/>
        <v>0</v>
      </c>
      <c r="DZ64" s="1008">
        <f t="shared" si="63"/>
        <v>37200041</v>
      </c>
      <c r="EA64" s="1008">
        <f t="shared" si="63"/>
        <v>0</v>
      </c>
      <c r="EB64" s="1008">
        <f t="shared" si="63"/>
        <v>0</v>
      </c>
      <c r="EC64" s="1008"/>
      <c r="ED64" s="1008">
        <f t="shared" si="49"/>
        <v>7274760</v>
      </c>
    </row>
    <row r="65" spans="1:134" ht="51" customHeight="1" x14ac:dyDescent="0.25">
      <c r="A65" s="1562"/>
      <c r="B65" s="1019"/>
      <c r="C65" s="1094" t="s">
        <v>4395</v>
      </c>
      <c r="D65" s="1019" t="s">
        <v>4332</v>
      </c>
      <c r="E65" s="1020">
        <v>410</v>
      </c>
      <c r="F65" s="1097" t="s">
        <v>4319</v>
      </c>
      <c r="G65" s="1400"/>
      <c r="H65" s="1061">
        <f t="shared" si="31"/>
        <v>35578029</v>
      </c>
      <c r="I65" s="1061">
        <f t="shared" si="32"/>
        <v>4421971</v>
      </c>
      <c r="J65" s="1399" t="s">
        <v>4846</v>
      </c>
      <c r="K65" s="1283" t="s">
        <v>4846</v>
      </c>
      <c r="L65" s="1283" t="s">
        <v>4846</v>
      </c>
      <c r="M65" s="1093">
        <v>37</v>
      </c>
      <c r="N65" s="1093">
        <v>0</v>
      </c>
      <c r="O65" s="1093">
        <v>0</v>
      </c>
      <c r="P65" s="1093">
        <v>49</v>
      </c>
      <c r="Q65" s="1093">
        <v>100</v>
      </c>
      <c r="R65" s="1093">
        <v>49</v>
      </c>
      <c r="S65" s="1097"/>
      <c r="T65" s="1097"/>
      <c r="U65" s="1097"/>
      <c r="V65" s="1097"/>
      <c r="W65" s="1097"/>
      <c r="X65" s="1097"/>
      <c r="Y65" s="1008">
        <f t="shared" si="33"/>
        <v>40000000</v>
      </c>
      <c r="Z65" s="944"/>
      <c r="AA65" s="944"/>
      <c r="AB65" s="944"/>
      <c r="AC65" s="944"/>
      <c r="AD65" s="944"/>
      <c r="AE65" s="944"/>
      <c r="AF65" s="944"/>
      <c r="AG65" s="944"/>
      <c r="AH65" s="944"/>
      <c r="AI65" s="1008"/>
      <c r="AJ65" s="1008"/>
      <c r="AK65" s="1008"/>
      <c r="AL65" s="1008"/>
      <c r="AM65" s="1008">
        <v>21280016</v>
      </c>
      <c r="AN65" s="1008">
        <v>15000000</v>
      </c>
      <c r="AO65" s="1008">
        <f>13719984-10000000</f>
        <v>3719984</v>
      </c>
      <c r="AP65" s="1008"/>
      <c r="AQ65" s="1008"/>
      <c r="AR65" s="1008"/>
      <c r="AS65" s="1008"/>
      <c r="AU65" s="1011">
        <f t="shared" si="3"/>
        <v>1</v>
      </c>
      <c r="AV65" s="1008">
        <f t="shared" si="34"/>
        <v>40000000</v>
      </c>
      <c r="AW65" s="1008"/>
      <c r="AX65" s="1008"/>
      <c r="AY65" s="1008"/>
      <c r="AZ65" s="1008"/>
      <c r="BA65" s="1008"/>
      <c r="BB65" s="1008"/>
      <c r="BC65" s="1008"/>
      <c r="BD65" s="1008"/>
      <c r="BE65" s="1008"/>
      <c r="BF65" s="1008"/>
      <c r="BG65" s="1008"/>
      <c r="BH65" s="1008"/>
      <c r="BI65" s="1008"/>
      <c r="BJ65" s="1008">
        <f>+'[18]OCTUBRE 2015'!$W$2790</f>
        <v>21280016</v>
      </c>
      <c r="BK65" s="1008">
        <f>+'[8]FEBRERO 2015'!$W$759</f>
        <v>15000000</v>
      </c>
      <c r="BL65" s="1008">
        <v>3719984</v>
      </c>
      <c r="BM65" s="1008"/>
      <c r="BN65" s="1008"/>
      <c r="BO65" s="1008"/>
      <c r="BP65" s="1008"/>
      <c r="BQ65" s="1011">
        <f t="shared" si="25"/>
        <v>0</v>
      </c>
      <c r="BR65" s="1008">
        <f t="shared" si="35"/>
        <v>0</v>
      </c>
      <c r="BS65" s="1008">
        <f t="shared" si="56"/>
        <v>0</v>
      </c>
      <c r="BT65" s="1008"/>
      <c r="BU65" s="1008">
        <f t="shared" si="65"/>
        <v>0</v>
      </c>
      <c r="BV65" s="1008">
        <f t="shared" si="65"/>
        <v>0</v>
      </c>
      <c r="BW65" s="1008"/>
      <c r="BX65" s="1008">
        <f t="shared" si="57"/>
        <v>0</v>
      </c>
      <c r="BY65" s="1008">
        <f t="shared" si="57"/>
        <v>0</v>
      </c>
      <c r="BZ65" s="1008"/>
      <c r="CA65" s="1008"/>
      <c r="CB65" s="1008">
        <f t="shared" si="58"/>
        <v>0</v>
      </c>
      <c r="CC65" s="1008"/>
      <c r="CD65" s="1008">
        <f t="shared" si="59"/>
        <v>0</v>
      </c>
      <c r="CE65" s="1008">
        <f t="shared" si="59"/>
        <v>0</v>
      </c>
      <c r="CF65" s="1008">
        <f t="shared" si="59"/>
        <v>0</v>
      </c>
      <c r="CG65" s="1008">
        <f t="shared" si="59"/>
        <v>0</v>
      </c>
      <c r="CH65" s="1008">
        <f t="shared" si="59"/>
        <v>0</v>
      </c>
      <c r="CI65" s="1008">
        <f t="shared" si="59"/>
        <v>0</v>
      </c>
      <c r="CJ65" s="1008"/>
      <c r="CK65" s="1008"/>
      <c r="CL65" s="1008">
        <f t="shared" si="41"/>
        <v>0</v>
      </c>
      <c r="CM65" s="1011">
        <f t="shared" si="13"/>
        <v>0.889450725</v>
      </c>
      <c r="CN65" s="1008">
        <f t="shared" si="42"/>
        <v>35578029</v>
      </c>
      <c r="CO65" s="1008"/>
      <c r="CP65" s="1008"/>
      <c r="CQ65" s="1008"/>
      <c r="CR65" s="1008"/>
      <c r="CS65" s="1008"/>
      <c r="CT65" s="1008"/>
      <c r="CU65" s="1008"/>
      <c r="CV65" s="1008"/>
      <c r="CW65" s="1008"/>
      <c r="CX65" s="1008"/>
      <c r="CY65" s="1008"/>
      <c r="CZ65" s="1008"/>
      <c r="DA65" s="1008"/>
      <c r="DB65" s="1008">
        <f>+'[18]OCTUBRE 2015'!$H$2791+'[18]OCTUBRE 2015'!$H$2800</f>
        <v>20578029</v>
      </c>
      <c r="DC65" s="1008">
        <f>+'[17]SEPTIEMBRE 2015'!$H$2405</f>
        <v>15000000</v>
      </c>
      <c r="DD65" s="1008"/>
      <c r="DE65" s="1008"/>
      <c r="DF65" s="1008"/>
      <c r="DG65" s="1008"/>
      <c r="DH65" s="1008"/>
      <c r="DI65" s="1011">
        <f t="shared" si="15"/>
        <v>0.110549275</v>
      </c>
      <c r="DJ65" s="1008">
        <f t="shared" si="43"/>
        <v>4421971</v>
      </c>
      <c r="DK65" s="1008"/>
      <c r="DL65" s="1008"/>
      <c r="DM65" s="1008"/>
      <c r="DN65" s="1008">
        <f t="shared" si="64"/>
        <v>0</v>
      </c>
      <c r="DO65" s="1008"/>
      <c r="DP65" s="1008">
        <f t="shared" si="60"/>
        <v>0</v>
      </c>
      <c r="DQ65" s="1008">
        <f t="shared" si="60"/>
        <v>0</v>
      </c>
      <c r="DR65" s="1008"/>
      <c r="DS65" s="1008">
        <f t="shared" si="61"/>
        <v>0</v>
      </c>
      <c r="DT65" s="1008">
        <f t="shared" si="61"/>
        <v>0</v>
      </c>
      <c r="DU65" s="1008"/>
      <c r="DV65" s="1008">
        <f t="shared" si="62"/>
        <v>0</v>
      </c>
      <c r="DW65" s="1008">
        <f t="shared" si="62"/>
        <v>0</v>
      </c>
      <c r="DX65" s="1008">
        <f t="shared" si="62"/>
        <v>701987</v>
      </c>
      <c r="DY65" s="1008">
        <f t="shared" si="63"/>
        <v>0</v>
      </c>
      <c r="DZ65" s="1008">
        <f t="shared" si="63"/>
        <v>3719984</v>
      </c>
      <c r="EA65" s="1008">
        <f t="shared" si="63"/>
        <v>0</v>
      </c>
      <c r="EB65" s="1008">
        <f t="shared" si="63"/>
        <v>0</v>
      </c>
      <c r="EC65" s="1008"/>
      <c r="ED65" s="1008">
        <f t="shared" si="49"/>
        <v>0</v>
      </c>
    </row>
    <row r="66" spans="1:134" ht="50.25" customHeight="1" x14ac:dyDescent="0.25">
      <c r="A66" s="1564"/>
      <c r="B66" s="1019"/>
      <c r="C66" s="1094" t="s">
        <v>4396</v>
      </c>
      <c r="D66" s="1019" t="s">
        <v>4333</v>
      </c>
      <c r="E66" s="1020">
        <v>410</v>
      </c>
      <c r="F66" s="1097" t="s">
        <v>4334</v>
      </c>
      <c r="G66" s="1401"/>
      <c r="H66" s="1061">
        <f t="shared" si="31"/>
        <v>15389000</v>
      </c>
      <c r="I66" s="1061">
        <f t="shared" si="32"/>
        <v>1048254</v>
      </c>
      <c r="J66" s="1401"/>
      <c r="K66" s="1284"/>
      <c r="L66" s="1284"/>
      <c r="M66" s="1093">
        <v>39</v>
      </c>
      <c r="N66" s="1093">
        <v>35</v>
      </c>
      <c r="O66" s="1093">
        <v>14</v>
      </c>
      <c r="P66" s="1093">
        <v>49</v>
      </c>
      <c r="Q66" s="1093">
        <v>35</v>
      </c>
      <c r="R66" s="1093">
        <v>17</v>
      </c>
      <c r="S66" s="1097"/>
      <c r="T66" s="1097"/>
      <c r="U66" s="1097"/>
      <c r="V66" s="1097"/>
      <c r="W66" s="1097"/>
      <c r="X66" s="1097"/>
      <c r="Y66" s="1008">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8">
        <f>20437254-4000000</f>
        <v>16437254</v>
      </c>
      <c r="AU66" s="1011">
        <f t="shared" si="3"/>
        <v>1</v>
      </c>
      <c r="AV66" s="1008">
        <f t="shared" si="34"/>
        <v>16437254</v>
      </c>
      <c r="AW66" s="1008"/>
      <c r="AX66" s="1008"/>
      <c r="AY66" s="1008"/>
      <c r="AZ66" s="1008"/>
      <c r="BA66" s="1008"/>
      <c r="BB66" s="1008"/>
      <c r="BC66" s="1008"/>
      <c r="BD66" s="1008"/>
      <c r="BE66" s="1008"/>
      <c r="BF66" s="1008"/>
      <c r="BG66" s="1008"/>
      <c r="BH66" s="1008"/>
      <c r="BI66" s="1008"/>
      <c r="BJ66" s="1008"/>
      <c r="BK66" s="1008"/>
      <c r="BL66" s="1008"/>
      <c r="BM66" s="1008"/>
      <c r="BN66" s="1008"/>
      <c r="BO66" s="1008"/>
      <c r="BP66" s="1008">
        <v>16437254</v>
      </c>
      <c r="BQ66" s="1011">
        <f t="shared" si="25"/>
        <v>0</v>
      </c>
      <c r="BR66" s="1008">
        <f t="shared" si="35"/>
        <v>0</v>
      </c>
      <c r="BS66" s="1008">
        <f t="shared" si="56"/>
        <v>0</v>
      </c>
      <c r="BT66" s="1008"/>
      <c r="BU66" s="1008">
        <f t="shared" si="65"/>
        <v>0</v>
      </c>
      <c r="BV66" s="1008">
        <f t="shared" si="65"/>
        <v>0</v>
      </c>
      <c r="BW66" s="1008"/>
      <c r="BX66" s="1008">
        <f t="shared" si="57"/>
        <v>0</v>
      </c>
      <c r="BY66" s="1008">
        <f t="shared" si="57"/>
        <v>0</v>
      </c>
      <c r="BZ66" s="1008"/>
      <c r="CA66" s="1008">
        <f>+AH66-BE66</f>
        <v>0</v>
      </c>
      <c r="CB66" s="1008">
        <f t="shared" si="58"/>
        <v>0</v>
      </c>
      <c r="CC66" s="1008">
        <f>+AJ66-BG66</f>
        <v>0</v>
      </c>
      <c r="CD66" s="1008">
        <f t="shared" si="59"/>
        <v>0</v>
      </c>
      <c r="CE66" s="1008">
        <f t="shared" si="59"/>
        <v>0</v>
      </c>
      <c r="CF66" s="1008">
        <f t="shared" si="59"/>
        <v>0</v>
      </c>
      <c r="CG66" s="1008">
        <f t="shared" si="59"/>
        <v>0</v>
      </c>
      <c r="CH66" s="1008">
        <f t="shared" si="59"/>
        <v>0</v>
      </c>
      <c r="CI66" s="1008">
        <f t="shared" si="59"/>
        <v>0</v>
      </c>
      <c r="CJ66" s="1008">
        <f>+AQ66-BN66</f>
        <v>0</v>
      </c>
      <c r="CK66" s="1008">
        <f>+AR66-BO66</f>
        <v>0</v>
      </c>
      <c r="CL66" s="1008">
        <f t="shared" si="41"/>
        <v>0</v>
      </c>
      <c r="CM66" s="1011">
        <f t="shared" si="13"/>
        <v>0.93622693912255661</v>
      </c>
      <c r="CN66" s="1008">
        <f t="shared" si="42"/>
        <v>15389000</v>
      </c>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f>+'[18]OCTUBRE 2015'!$H$2806</f>
        <v>15389000</v>
      </c>
      <c r="DI66" s="1011">
        <f t="shared" si="15"/>
        <v>6.3773060877443388E-2</v>
      </c>
      <c r="DJ66" s="1008">
        <f t="shared" si="43"/>
        <v>1048254</v>
      </c>
      <c r="DK66" s="1008"/>
      <c r="DL66" s="1008">
        <f>AA66-CP66</f>
        <v>0</v>
      </c>
      <c r="DM66" s="1008"/>
      <c r="DN66" s="1008">
        <f t="shared" si="64"/>
        <v>0</v>
      </c>
      <c r="DO66" s="1008"/>
      <c r="DP66" s="1008">
        <f t="shared" si="60"/>
        <v>0</v>
      </c>
      <c r="DQ66" s="1008">
        <f t="shared" si="60"/>
        <v>0</v>
      </c>
      <c r="DR66" s="1008"/>
      <c r="DS66" s="1008">
        <f t="shared" si="61"/>
        <v>0</v>
      </c>
      <c r="DT66" s="1008">
        <f t="shared" si="61"/>
        <v>0</v>
      </c>
      <c r="DU66" s="1008"/>
      <c r="DV66" s="1008">
        <f t="shared" si="62"/>
        <v>0</v>
      </c>
      <c r="DW66" s="1008">
        <f t="shared" si="62"/>
        <v>0</v>
      </c>
      <c r="DX66" s="1008">
        <f t="shared" si="62"/>
        <v>0</v>
      </c>
      <c r="DY66" s="1008">
        <f t="shared" si="63"/>
        <v>0</v>
      </c>
      <c r="DZ66" s="1008">
        <f t="shared" si="63"/>
        <v>0</v>
      </c>
      <c r="EA66" s="1008">
        <f t="shared" si="63"/>
        <v>0</v>
      </c>
      <c r="EB66" s="1008">
        <f t="shared" si="63"/>
        <v>0</v>
      </c>
      <c r="EC66" s="1008"/>
      <c r="ED66" s="1008">
        <f t="shared" si="49"/>
        <v>1048254</v>
      </c>
    </row>
    <row r="67" spans="1:134" s="948" customFormat="1" ht="22.5" customHeight="1" thickBot="1" x14ac:dyDescent="0.3">
      <c r="A67" s="1056"/>
      <c r="B67" s="1553" t="s">
        <v>4338</v>
      </c>
      <c r="C67" s="1553"/>
      <c r="D67" s="1553"/>
      <c r="E67" s="1553"/>
      <c r="F67" s="1051"/>
      <c r="G67" s="1009">
        <f>SUM(G35:G66)</f>
        <v>4593000000</v>
      </c>
      <c r="H67" s="1009">
        <f>SUM(H35:H66)</f>
        <v>3906305329</v>
      </c>
      <c r="I67" s="1009">
        <f>SUM(I35:I66)</f>
        <v>2629487400</v>
      </c>
      <c r="J67" s="1055"/>
      <c r="K67" s="1079"/>
      <c r="L67" s="1079"/>
      <c r="M67" s="1074"/>
      <c r="N67" s="1074"/>
      <c r="O67" s="1074"/>
      <c r="P67" s="1079"/>
      <c r="Q67" s="1079"/>
      <c r="R67" s="1079"/>
      <c r="S67" s="1055"/>
      <c r="T67" s="1055"/>
      <c r="U67" s="1055"/>
      <c r="V67" s="1055"/>
      <c r="W67" s="1055"/>
      <c r="X67" s="1055"/>
      <c r="Y67" s="1009">
        <f t="shared" ref="Y67:AS67" si="66">SUM(Y35:Y66)</f>
        <v>6535792729</v>
      </c>
      <c r="Z67" s="1009">
        <f t="shared" si="66"/>
        <v>0</v>
      </c>
      <c r="AA67" s="1009">
        <f t="shared" si="66"/>
        <v>134533656</v>
      </c>
      <c r="AB67" s="1009">
        <f t="shared" si="66"/>
        <v>396726534</v>
      </c>
      <c r="AC67" s="1009">
        <f t="shared" si="66"/>
        <v>775722031</v>
      </c>
      <c r="AD67" s="1009">
        <f t="shared" si="66"/>
        <v>0</v>
      </c>
      <c r="AE67" s="1009">
        <f t="shared" si="66"/>
        <v>544180877</v>
      </c>
      <c r="AF67" s="1009">
        <f t="shared" si="66"/>
        <v>55000000</v>
      </c>
      <c r="AG67" s="1009">
        <f t="shared" si="66"/>
        <v>102810569</v>
      </c>
      <c r="AH67" s="1009">
        <f t="shared" si="66"/>
        <v>219471348</v>
      </c>
      <c r="AI67" s="1009">
        <f t="shared" si="66"/>
        <v>0</v>
      </c>
      <c r="AJ67" s="1009">
        <f t="shared" si="66"/>
        <v>0</v>
      </c>
      <c r="AK67" s="1009">
        <f t="shared" si="66"/>
        <v>0</v>
      </c>
      <c r="AL67" s="1009">
        <f t="shared" si="66"/>
        <v>3504013680</v>
      </c>
      <c r="AM67" s="1009">
        <f t="shared" si="66"/>
        <v>78609139</v>
      </c>
      <c r="AN67" s="1009">
        <f t="shared" si="66"/>
        <v>251718083</v>
      </c>
      <c r="AO67" s="1009">
        <f t="shared" si="66"/>
        <v>311973650</v>
      </c>
      <c r="AP67" s="1009">
        <f t="shared" si="66"/>
        <v>0</v>
      </c>
      <c r="AQ67" s="1009">
        <f t="shared" si="66"/>
        <v>80844085</v>
      </c>
      <c r="AR67" s="1009">
        <f t="shared" si="66"/>
        <v>0</v>
      </c>
      <c r="AS67" s="1009">
        <f t="shared" si="66"/>
        <v>80189077</v>
      </c>
      <c r="AU67" s="1010">
        <f t="shared" si="3"/>
        <v>0.81595654989749911</v>
      </c>
      <c r="AV67" s="1009">
        <f t="shared" ref="AV67:BP67" si="67">SUM(AV35:AV66)</f>
        <v>5332922886</v>
      </c>
      <c r="AW67" s="1009">
        <f t="shared" si="67"/>
        <v>0</v>
      </c>
      <c r="AX67" s="1009">
        <f t="shared" si="67"/>
        <v>127311678</v>
      </c>
      <c r="AY67" s="1009">
        <f t="shared" si="67"/>
        <v>364926534</v>
      </c>
      <c r="AZ67" s="1009">
        <f t="shared" si="67"/>
        <v>775722031</v>
      </c>
      <c r="BA67" s="1009">
        <f t="shared" si="67"/>
        <v>0</v>
      </c>
      <c r="BB67" s="1009">
        <f t="shared" si="67"/>
        <v>488016550</v>
      </c>
      <c r="BC67" s="1009">
        <f t="shared" si="67"/>
        <v>55000000</v>
      </c>
      <c r="BD67" s="1009">
        <f t="shared" si="67"/>
        <v>102810569</v>
      </c>
      <c r="BE67" s="1009">
        <f t="shared" si="67"/>
        <v>219471348</v>
      </c>
      <c r="BF67" s="1009">
        <f t="shared" si="67"/>
        <v>0</v>
      </c>
      <c r="BG67" s="1009">
        <f t="shared" si="67"/>
        <v>0</v>
      </c>
      <c r="BH67" s="1009">
        <f t="shared" si="67"/>
        <v>0</v>
      </c>
      <c r="BI67" s="1009">
        <f t="shared" si="67"/>
        <v>2411831294</v>
      </c>
      <c r="BJ67" s="1009">
        <f t="shared" si="67"/>
        <v>78609139</v>
      </c>
      <c r="BK67" s="1009">
        <f t="shared" si="67"/>
        <v>251718083</v>
      </c>
      <c r="BL67" s="1009">
        <f t="shared" si="67"/>
        <v>311973590</v>
      </c>
      <c r="BM67" s="1009">
        <f t="shared" si="67"/>
        <v>0</v>
      </c>
      <c r="BN67" s="1009">
        <f t="shared" si="67"/>
        <v>80844085</v>
      </c>
      <c r="BO67" s="1009">
        <f t="shared" si="67"/>
        <v>0</v>
      </c>
      <c r="BP67" s="1009">
        <f t="shared" si="67"/>
        <v>64687985</v>
      </c>
      <c r="BQ67" s="1010">
        <f t="shared" si="25"/>
        <v>0.18404345010250089</v>
      </c>
      <c r="BR67" s="1009">
        <f t="shared" ref="BR67:CL67" si="68">SUM(BR35:BR66)</f>
        <v>1202869843</v>
      </c>
      <c r="BS67" s="1009">
        <f t="shared" si="68"/>
        <v>0</v>
      </c>
      <c r="BT67" s="1009">
        <f t="shared" si="68"/>
        <v>7221978</v>
      </c>
      <c r="BU67" s="1009">
        <f t="shared" si="68"/>
        <v>31800000</v>
      </c>
      <c r="BV67" s="1009">
        <f t="shared" si="68"/>
        <v>0</v>
      </c>
      <c r="BW67" s="1009">
        <f t="shared" si="68"/>
        <v>0</v>
      </c>
      <c r="BX67" s="1009">
        <f t="shared" si="68"/>
        <v>56164327</v>
      </c>
      <c r="BY67" s="1009">
        <f t="shared" si="68"/>
        <v>0</v>
      </c>
      <c r="BZ67" s="1009">
        <f t="shared" si="68"/>
        <v>0</v>
      </c>
      <c r="CA67" s="1009">
        <f t="shared" si="68"/>
        <v>0</v>
      </c>
      <c r="CB67" s="1009">
        <f t="shared" si="68"/>
        <v>0</v>
      </c>
      <c r="CC67" s="1009">
        <f t="shared" si="68"/>
        <v>0</v>
      </c>
      <c r="CD67" s="1009">
        <f t="shared" si="68"/>
        <v>0</v>
      </c>
      <c r="CE67" s="1009">
        <f t="shared" si="68"/>
        <v>1092182386</v>
      </c>
      <c r="CF67" s="1009">
        <f t="shared" si="68"/>
        <v>0</v>
      </c>
      <c r="CG67" s="1009">
        <f t="shared" si="68"/>
        <v>0</v>
      </c>
      <c r="CH67" s="1009">
        <f t="shared" si="68"/>
        <v>60</v>
      </c>
      <c r="CI67" s="1009">
        <f t="shared" si="68"/>
        <v>0</v>
      </c>
      <c r="CJ67" s="1009">
        <f t="shared" si="68"/>
        <v>0</v>
      </c>
      <c r="CK67" s="1009">
        <f t="shared" si="68"/>
        <v>0</v>
      </c>
      <c r="CL67" s="1009">
        <f t="shared" si="68"/>
        <v>15501092</v>
      </c>
      <c r="CM67" s="1010">
        <f t="shared" si="13"/>
        <v>0.59767888777551226</v>
      </c>
      <c r="CN67" s="1009">
        <f t="shared" ref="CN67:ED67" si="69">SUM(CN35:CN66)</f>
        <v>3906305329</v>
      </c>
      <c r="CO67" s="1009">
        <f t="shared" si="69"/>
        <v>0</v>
      </c>
      <c r="CP67" s="1009">
        <f t="shared" si="69"/>
        <v>127311678</v>
      </c>
      <c r="CQ67" s="1009">
        <f t="shared" si="69"/>
        <v>364926534</v>
      </c>
      <c r="CR67" s="1009">
        <f t="shared" si="69"/>
        <v>561469881</v>
      </c>
      <c r="CS67" s="1009">
        <f t="shared" si="69"/>
        <v>0</v>
      </c>
      <c r="CT67" s="1009">
        <f t="shared" si="69"/>
        <v>461643323</v>
      </c>
      <c r="CU67" s="1009">
        <f t="shared" si="69"/>
        <v>55000000</v>
      </c>
      <c r="CV67" s="1009">
        <f t="shared" si="69"/>
        <v>102810569</v>
      </c>
      <c r="CW67" s="1009">
        <f t="shared" si="69"/>
        <v>129471348</v>
      </c>
      <c r="CX67" s="1009">
        <f t="shared" si="69"/>
        <v>0</v>
      </c>
      <c r="CY67" s="1009">
        <f t="shared" si="69"/>
        <v>0</v>
      </c>
      <c r="CZ67" s="1009">
        <f t="shared" si="69"/>
        <v>0</v>
      </c>
      <c r="DA67" s="1009">
        <f t="shared" si="69"/>
        <v>1537936337</v>
      </c>
      <c r="DB67" s="1009">
        <f t="shared" si="69"/>
        <v>74817818</v>
      </c>
      <c r="DC67" s="1009">
        <f t="shared" si="69"/>
        <v>226625653</v>
      </c>
      <c r="DD67" s="1009">
        <f t="shared" si="69"/>
        <v>189662203</v>
      </c>
      <c r="DE67" s="1009">
        <f t="shared" si="69"/>
        <v>0</v>
      </c>
      <c r="DF67" s="1009">
        <f t="shared" si="69"/>
        <v>32548551</v>
      </c>
      <c r="DG67" s="1009">
        <f t="shared" si="69"/>
        <v>0</v>
      </c>
      <c r="DH67" s="1009">
        <f t="shared" si="69"/>
        <v>42081434</v>
      </c>
      <c r="DI67" s="1009" t="e">
        <f t="shared" si="69"/>
        <v>#DIV/0!</v>
      </c>
      <c r="DJ67" s="1009">
        <f t="shared" si="69"/>
        <v>2629487400</v>
      </c>
      <c r="DK67" s="1009">
        <f t="shared" si="69"/>
        <v>0</v>
      </c>
      <c r="DL67" s="1009">
        <f t="shared" si="69"/>
        <v>7221978</v>
      </c>
      <c r="DM67" s="1009">
        <f t="shared" si="69"/>
        <v>31800000</v>
      </c>
      <c r="DN67" s="1009">
        <f t="shared" si="69"/>
        <v>214252150</v>
      </c>
      <c r="DO67" s="1009">
        <f t="shared" si="69"/>
        <v>0</v>
      </c>
      <c r="DP67" s="1009">
        <f t="shared" si="69"/>
        <v>82537554</v>
      </c>
      <c r="DQ67" s="1009">
        <f t="shared" si="69"/>
        <v>0</v>
      </c>
      <c r="DR67" s="1009">
        <f t="shared" si="69"/>
        <v>0</v>
      </c>
      <c r="DS67" s="1009">
        <f t="shared" si="69"/>
        <v>90000000</v>
      </c>
      <c r="DT67" s="1009">
        <f t="shared" si="69"/>
        <v>0</v>
      </c>
      <c r="DU67" s="1009">
        <f t="shared" si="69"/>
        <v>0</v>
      </c>
      <c r="DV67" s="1009">
        <f t="shared" si="69"/>
        <v>0</v>
      </c>
      <c r="DW67" s="1009">
        <f t="shared" si="69"/>
        <v>1966077343</v>
      </c>
      <c r="DX67" s="1009">
        <f t="shared" si="69"/>
        <v>3791321</v>
      </c>
      <c r="DY67" s="1009">
        <f t="shared" si="69"/>
        <v>25092430</v>
      </c>
      <c r="DZ67" s="1009">
        <f t="shared" si="69"/>
        <v>122311447</v>
      </c>
      <c r="EA67" s="1009">
        <f t="shared" si="69"/>
        <v>0</v>
      </c>
      <c r="EB67" s="1009">
        <f t="shared" si="69"/>
        <v>48295534</v>
      </c>
      <c r="EC67" s="1009">
        <f t="shared" si="69"/>
        <v>0</v>
      </c>
      <c r="ED67" s="1044">
        <f t="shared" si="69"/>
        <v>38107643</v>
      </c>
    </row>
    <row r="68" spans="1:134" ht="66.75" customHeight="1" thickTop="1" x14ac:dyDescent="0.25">
      <c r="A68" s="1565" t="s">
        <v>4756</v>
      </c>
      <c r="B68" s="1019" t="s">
        <v>4340</v>
      </c>
      <c r="C68" s="1094" t="s">
        <v>4405</v>
      </c>
      <c r="D68" s="1019" t="s">
        <v>4344</v>
      </c>
      <c r="E68" s="1020">
        <v>520</v>
      </c>
      <c r="F68" s="1097" t="s">
        <v>4732</v>
      </c>
      <c r="G68" s="1563">
        <v>331000000</v>
      </c>
      <c r="H68" s="1061">
        <f t="shared" ref="H68:H103" si="70">+CN68</f>
        <v>2000000</v>
      </c>
      <c r="I68" s="1061">
        <f t="shared" ref="I68:I99" si="71">Y68-H68</f>
        <v>1000000</v>
      </c>
      <c r="J68" s="1097" t="s">
        <v>4850</v>
      </c>
      <c r="K68" s="1093" t="s">
        <v>4854</v>
      </c>
      <c r="L68" s="1093" t="s">
        <v>4860</v>
      </c>
      <c r="M68" s="1093">
        <v>0</v>
      </c>
      <c r="N68" s="1093">
        <v>0</v>
      </c>
      <c r="O68" s="1093">
        <v>0</v>
      </c>
      <c r="P68" s="1093">
        <v>0</v>
      </c>
      <c r="Q68" s="1093">
        <v>0</v>
      </c>
      <c r="R68" s="1093">
        <v>0</v>
      </c>
      <c r="S68" s="1097"/>
      <c r="T68" s="1097"/>
      <c r="U68" s="1097"/>
      <c r="V68" s="1097"/>
      <c r="W68" s="1097"/>
      <c r="X68" s="1097"/>
      <c r="Y68" s="1008">
        <f t="shared" ref="Y68:Y103" si="72">SUM(Z68:AS68)</f>
        <v>3000000</v>
      </c>
      <c r="Z68" s="944"/>
      <c r="AA68" s="1008"/>
      <c r="AB68" s="1008"/>
      <c r="AC68" s="1008"/>
      <c r="AD68" s="1008"/>
      <c r="AE68" s="1008"/>
      <c r="AF68" s="1008"/>
      <c r="AG68" s="1008"/>
      <c r="AH68" s="1008"/>
      <c r="AI68" s="1008"/>
      <c r="AJ68" s="1008"/>
      <c r="AK68" s="1008"/>
      <c r="AL68" s="1008"/>
      <c r="AM68" s="1008"/>
      <c r="AN68" s="1008"/>
      <c r="AO68" s="1008"/>
      <c r="AP68" s="1008"/>
      <c r="AQ68" s="1008"/>
      <c r="AR68" s="1008"/>
      <c r="AS68" s="1008">
        <f>2000000+1000000</f>
        <v>3000000</v>
      </c>
      <c r="AU68" s="1011">
        <f t="shared" ref="AU68:AU104" si="73">+AV68/Y68</f>
        <v>0.66666666666666663</v>
      </c>
      <c r="AV68" s="1008">
        <f t="shared" ref="AV68:AV103" si="74">SUM(AW68:BP68)</f>
        <v>2000000</v>
      </c>
      <c r="AW68" s="1008"/>
      <c r="AX68" s="1008"/>
      <c r="AY68" s="1008"/>
      <c r="AZ68" s="1008"/>
      <c r="BA68" s="1008"/>
      <c r="BB68" s="1008"/>
      <c r="BC68" s="1008"/>
      <c r="BD68" s="1008"/>
      <c r="BE68" s="1008"/>
      <c r="BF68" s="1008"/>
      <c r="BG68" s="1008"/>
      <c r="BH68" s="1008"/>
      <c r="BI68" s="1008"/>
      <c r="BJ68" s="1008"/>
      <c r="BK68" s="1008"/>
      <c r="BL68" s="1008"/>
      <c r="BM68" s="1008"/>
      <c r="BN68" s="1008"/>
      <c r="BO68" s="1008"/>
      <c r="BP68" s="1008">
        <f>+'[17]SEPTIEMBRE 2015'!$G$2914</f>
        <v>2000000</v>
      </c>
      <c r="BQ68" s="1011">
        <f t="shared" si="25"/>
        <v>0.33333333333333337</v>
      </c>
      <c r="BR68" s="1008">
        <f t="shared" ref="BR68:BR103" si="75">SUM(BS68:CL68)</f>
        <v>1000000</v>
      </c>
      <c r="BS68" s="1008">
        <f t="shared" ref="BS68:BS103" si="76">+Z68-AW68</f>
        <v>0</v>
      </c>
      <c r="BT68" s="1008">
        <f t="shared" ref="BT68:BT103" si="77">AA68-AX68</f>
        <v>0</v>
      </c>
      <c r="BU68" s="1008"/>
      <c r="BV68" s="1008">
        <f t="shared" ref="BV68:BV103" si="78">AC68-AZ68</f>
        <v>0</v>
      </c>
      <c r="BW68" s="1008"/>
      <c r="BX68" s="1008">
        <f t="shared" ref="BX68:BY103" si="79">+AE68-BB68</f>
        <v>0</v>
      </c>
      <c r="BY68" s="1008">
        <f t="shared" si="79"/>
        <v>0</v>
      </c>
      <c r="BZ68" s="1008"/>
      <c r="CA68" s="1008">
        <f t="shared" ref="CA68:CI83" si="80">+AH68-BE68</f>
        <v>0</v>
      </c>
      <c r="CB68" s="1008">
        <f t="shared" si="80"/>
        <v>0</v>
      </c>
      <c r="CC68" s="1008">
        <f t="shared" si="80"/>
        <v>0</v>
      </c>
      <c r="CD68" s="1008">
        <f t="shared" si="80"/>
        <v>0</v>
      </c>
      <c r="CE68" s="1008">
        <f t="shared" si="80"/>
        <v>0</v>
      </c>
      <c r="CF68" s="1008">
        <f t="shared" si="80"/>
        <v>0</v>
      </c>
      <c r="CG68" s="1008">
        <f t="shared" si="80"/>
        <v>0</v>
      </c>
      <c r="CH68" s="1008">
        <f t="shared" si="80"/>
        <v>0</v>
      </c>
      <c r="CI68" s="1008">
        <f t="shared" si="80"/>
        <v>0</v>
      </c>
      <c r="CJ68" s="1008"/>
      <c r="CK68" s="1008"/>
      <c r="CL68" s="1008">
        <f t="shared" ref="CL68:CL103" si="81">+AS68-BP68</f>
        <v>1000000</v>
      </c>
      <c r="CM68" s="1011">
        <f t="shared" ref="CM68:CM104" si="82">+CN68/Y68</f>
        <v>0.66666666666666663</v>
      </c>
      <c r="CN68" s="1008">
        <f t="shared" ref="CN68:CN103" si="83">SUM(CO68:DH68)</f>
        <v>2000000</v>
      </c>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f>+'[18]OCTUBRE 2015'!$H$3360</f>
        <v>2000000</v>
      </c>
      <c r="DI68" s="1011">
        <f t="shared" ref="DI68:DI104" si="84">1-CM68</f>
        <v>0.33333333333333337</v>
      </c>
      <c r="DJ68" s="1008">
        <f t="shared" ref="DJ68:DJ103" si="85">SUM(DK68:ED68)</f>
        <v>1000000</v>
      </c>
      <c r="DK68" s="1008"/>
      <c r="DL68" s="1008"/>
      <c r="DM68" s="1008"/>
      <c r="DN68" s="1008">
        <f t="shared" ref="DN68:DN103" si="86">AC68-CR68</f>
        <v>0</v>
      </c>
      <c r="DO68" s="1008"/>
      <c r="DP68" s="1008">
        <f t="shared" ref="DP68:DQ103" si="87">AE68-CT68</f>
        <v>0</v>
      </c>
      <c r="DQ68" s="1008">
        <f t="shared" si="87"/>
        <v>0</v>
      </c>
      <c r="DR68" s="1008"/>
      <c r="DS68" s="1008">
        <f t="shared" ref="DS68:DT103" si="88">+AH68-CW68</f>
        <v>0</v>
      </c>
      <c r="DT68" s="1008">
        <f t="shared" si="88"/>
        <v>0</v>
      </c>
      <c r="DU68" s="1008"/>
      <c r="DV68" s="1008">
        <f t="shared" ref="DV68:DX103" si="89">AK68-CZ68</f>
        <v>0</v>
      </c>
      <c r="DW68" s="1008">
        <f t="shared" si="89"/>
        <v>0</v>
      </c>
      <c r="DX68" s="1008">
        <f t="shared" si="89"/>
        <v>0</v>
      </c>
      <c r="DY68" s="1008">
        <f t="shared" ref="DY68:EB103" si="90">+AN68-DC68</f>
        <v>0</v>
      </c>
      <c r="DZ68" s="1008">
        <f t="shared" si="90"/>
        <v>0</v>
      </c>
      <c r="EA68" s="1008">
        <f t="shared" si="90"/>
        <v>0</v>
      </c>
      <c r="EB68" s="1008">
        <f t="shared" si="90"/>
        <v>0</v>
      </c>
      <c r="EC68" s="1008"/>
      <c r="ED68" s="1008">
        <f t="shared" ref="ED68:ED103" si="91">+AS68-DH68</f>
        <v>1000000</v>
      </c>
    </row>
    <row r="69" spans="1:134" ht="30.75" customHeight="1" x14ac:dyDescent="0.25">
      <c r="A69" s="1565"/>
      <c r="B69" s="1019"/>
      <c r="C69" s="1094" t="s">
        <v>4406</v>
      </c>
      <c r="D69" s="1019" t="s">
        <v>4341</v>
      </c>
      <c r="E69" s="1020">
        <v>520</v>
      </c>
      <c r="F69" s="1097" t="s">
        <v>3350</v>
      </c>
      <c r="G69" s="1400"/>
      <c r="H69" s="1061">
        <f t="shared" si="70"/>
        <v>25414205</v>
      </c>
      <c r="I69" s="1061">
        <f t="shared" si="71"/>
        <v>4585795</v>
      </c>
      <c r="J69" s="1399" t="s">
        <v>4851</v>
      </c>
      <c r="K69" s="1283" t="s">
        <v>4855</v>
      </c>
      <c r="L69" s="1283" t="s">
        <v>4861</v>
      </c>
      <c r="M69" s="1093">
        <v>13</v>
      </c>
      <c r="N69" s="1093">
        <v>10</v>
      </c>
      <c r="O69" s="1093">
        <v>1</v>
      </c>
      <c r="P69" s="1093">
        <v>24</v>
      </c>
      <c r="Q69" s="1093">
        <v>20</v>
      </c>
      <c r="R69" s="1093">
        <v>5</v>
      </c>
      <c r="S69" s="1097"/>
      <c r="T69" s="1097"/>
      <c r="U69" s="1097"/>
      <c r="V69" s="1097"/>
      <c r="W69" s="1097"/>
      <c r="X69" s="1097"/>
      <c r="Y69" s="1008">
        <f t="shared" si="72"/>
        <v>30000000</v>
      </c>
      <c r="Z69" s="1008"/>
      <c r="AA69" s="1008"/>
      <c r="AB69" s="1008"/>
      <c r="AC69" s="1008"/>
      <c r="AD69" s="1008"/>
      <c r="AE69" s="1008">
        <f>50000000-20000000</f>
        <v>30000000</v>
      </c>
      <c r="AF69" s="1008"/>
      <c r="AG69" s="1008"/>
      <c r="AH69" s="1008"/>
      <c r="AI69" s="1008"/>
      <c r="AJ69" s="1008"/>
      <c r="AK69" s="1008"/>
      <c r="AL69" s="1008"/>
      <c r="AM69" s="1008"/>
      <c r="AN69" s="1008"/>
      <c r="AO69" s="1008"/>
      <c r="AP69" s="1008"/>
      <c r="AQ69" s="1008"/>
      <c r="AR69" s="1008"/>
      <c r="AS69" s="1008"/>
      <c r="AU69" s="1011">
        <f t="shared" si="73"/>
        <v>1</v>
      </c>
      <c r="AV69" s="1008">
        <f t="shared" si="74"/>
        <v>30000000</v>
      </c>
      <c r="AW69" s="1008"/>
      <c r="AX69" s="1008"/>
      <c r="AY69" s="1008"/>
      <c r="AZ69" s="1008"/>
      <c r="BA69" s="1008"/>
      <c r="BB69" s="1008">
        <f>+'[9]FEBRERO 2015'!$N$1017-20000000</f>
        <v>30000000</v>
      </c>
      <c r="BC69" s="1008"/>
      <c r="BD69" s="1008"/>
      <c r="BE69" s="1008"/>
      <c r="BF69" s="1008"/>
      <c r="BG69" s="1008"/>
      <c r="BH69" s="1008"/>
      <c r="BI69" s="1008"/>
      <c r="BJ69" s="1008"/>
      <c r="BK69" s="1008"/>
      <c r="BL69" s="1008"/>
      <c r="BM69" s="1008"/>
      <c r="BN69" s="1008"/>
      <c r="BO69" s="1008"/>
      <c r="BP69" s="1008"/>
      <c r="BQ69" s="1011">
        <f t="shared" si="25"/>
        <v>0</v>
      </c>
      <c r="BR69" s="1008">
        <f t="shared" si="75"/>
        <v>0</v>
      </c>
      <c r="BS69" s="1008">
        <f t="shared" si="76"/>
        <v>0</v>
      </c>
      <c r="BT69" s="1008">
        <f t="shared" si="77"/>
        <v>0</v>
      </c>
      <c r="BU69" s="1008"/>
      <c r="BV69" s="1008">
        <f t="shared" si="78"/>
        <v>0</v>
      </c>
      <c r="BW69" s="1008"/>
      <c r="BX69" s="1008">
        <f t="shared" si="79"/>
        <v>0</v>
      </c>
      <c r="BY69" s="1008">
        <f t="shared" si="79"/>
        <v>0</v>
      </c>
      <c r="BZ69" s="1008"/>
      <c r="CA69" s="1008"/>
      <c r="CB69" s="1008">
        <f t="shared" si="80"/>
        <v>0</v>
      </c>
      <c r="CC69" s="1008"/>
      <c r="CD69" s="1008">
        <f t="shared" si="80"/>
        <v>0</v>
      </c>
      <c r="CE69" s="1008">
        <f t="shared" si="80"/>
        <v>0</v>
      </c>
      <c r="CF69" s="1008">
        <f t="shared" si="80"/>
        <v>0</v>
      </c>
      <c r="CG69" s="1008">
        <f t="shared" si="80"/>
        <v>0</v>
      </c>
      <c r="CH69" s="1008">
        <f t="shared" si="80"/>
        <v>0</v>
      </c>
      <c r="CI69" s="1008">
        <f t="shared" si="80"/>
        <v>0</v>
      </c>
      <c r="CJ69" s="1008"/>
      <c r="CK69" s="1008"/>
      <c r="CL69" s="1008">
        <f t="shared" si="81"/>
        <v>0</v>
      </c>
      <c r="CM69" s="1011">
        <f t="shared" si="82"/>
        <v>0.84714016666666669</v>
      </c>
      <c r="CN69" s="1008">
        <f t="shared" si="83"/>
        <v>25414205</v>
      </c>
      <c r="CO69" s="1008"/>
      <c r="CP69" s="1008"/>
      <c r="CQ69" s="1008"/>
      <c r="CR69" s="1008"/>
      <c r="CS69" s="1008"/>
      <c r="CT69" s="1008">
        <f>+'[18]OCTUBRE 2015'!$H$3369</f>
        <v>25414205</v>
      </c>
      <c r="CU69" s="1008"/>
      <c r="CV69" s="1008"/>
      <c r="CW69" s="1008"/>
      <c r="CX69" s="1008"/>
      <c r="CY69" s="1008"/>
      <c r="CZ69" s="1008"/>
      <c r="DA69" s="1008"/>
      <c r="DB69" s="1008"/>
      <c r="DC69" s="1008"/>
      <c r="DD69" s="1008"/>
      <c r="DE69" s="1008"/>
      <c r="DF69" s="1008"/>
      <c r="DG69" s="1008"/>
      <c r="DH69" s="1008"/>
      <c r="DI69" s="1011">
        <f t="shared" si="84"/>
        <v>0.15285983333333331</v>
      </c>
      <c r="DJ69" s="1008">
        <f t="shared" si="85"/>
        <v>4585795</v>
      </c>
      <c r="DK69" s="1008"/>
      <c r="DL69" s="1008"/>
      <c r="DM69" s="1008"/>
      <c r="DN69" s="1008">
        <f t="shared" si="86"/>
        <v>0</v>
      </c>
      <c r="DO69" s="1008"/>
      <c r="DP69" s="1008">
        <f t="shared" si="87"/>
        <v>4585795</v>
      </c>
      <c r="DQ69" s="1008">
        <f t="shared" si="87"/>
        <v>0</v>
      </c>
      <c r="DR69" s="1008"/>
      <c r="DS69" s="1008">
        <f t="shared" si="88"/>
        <v>0</v>
      </c>
      <c r="DT69" s="1008">
        <f t="shared" si="88"/>
        <v>0</v>
      </c>
      <c r="DU69" s="1008"/>
      <c r="DV69" s="1008">
        <f t="shared" si="89"/>
        <v>0</v>
      </c>
      <c r="DW69" s="1008">
        <f t="shared" si="89"/>
        <v>0</v>
      </c>
      <c r="DX69" s="1008">
        <f t="shared" si="89"/>
        <v>0</v>
      </c>
      <c r="DY69" s="1008">
        <f t="shared" si="90"/>
        <v>0</v>
      </c>
      <c r="DZ69" s="1008">
        <f t="shared" si="90"/>
        <v>0</v>
      </c>
      <c r="EA69" s="1008">
        <f t="shared" si="90"/>
        <v>0</v>
      </c>
      <c r="EB69" s="1008">
        <f t="shared" si="90"/>
        <v>0</v>
      </c>
      <c r="EC69" s="1008"/>
      <c r="ED69" s="1008">
        <f t="shared" si="91"/>
        <v>0</v>
      </c>
    </row>
    <row r="70" spans="1:134" ht="27" customHeight="1" x14ac:dyDescent="0.25">
      <c r="A70" s="1565"/>
      <c r="B70" s="1019"/>
      <c r="C70" s="1094" t="s">
        <v>4407</v>
      </c>
      <c r="D70" s="1019" t="s">
        <v>4342</v>
      </c>
      <c r="E70" s="1020">
        <v>520</v>
      </c>
      <c r="F70" s="1097" t="s">
        <v>3350</v>
      </c>
      <c r="G70" s="1400"/>
      <c r="H70" s="1061">
        <f t="shared" si="70"/>
        <v>15854838</v>
      </c>
      <c r="I70" s="1061">
        <f t="shared" si="71"/>
        <v>4145162</v>
      </c>
      <c r="J70" s="1401"/>
      <c r="K70" s="1284"/>
      <c r="L70" s="1284"/>
      <c r="M70" s="1093">
        <v>0</v>
      </c>
      <c r="N70" s="1093">
        <v>0</v>
      </c>
      <c r="O70" s="1093">
        <v>0</v>
      </c>
      <c r="P70" s="1093">
        <v>0</v>
      </c>
      <c r="Q70" s="1093">
        <v>10</v>
      </c>
      <c r="R70" s="1093">
        <v>0</v>
      </c>
      <c r="S70" s="1097"/>
      <c r="T70" s="1097"/>
      <c r="U70" s="1097"/>
      <c r="V70" s="1097"/>
      <c r="W70" s="1097"/>
      <c r="X70" s="1097"/>
      <c r="Y70" s="1008">
        <f t="shared" si="72"/>
        <v>20000000</v>
      </c>
      <c r="Z70" s="1008"/>
      <c r="AA70" s="1008"/>
      <c r="AB70" s="1008"/>
      <c r="AC70" s="1008"/>
      <c r="AD70" s="1008"/>
      <c r="AE70" s="1008">
        <f>50000000-20000000-20000000</f>
        <v>10000000</v>
      </c>
      <c r="AF70" s="1008"/>
      <c r="AG70" s="1008"/>
      <c r="AH70" s="1008"/>
      <c r="AI70" s="1008"/>
      <c r="AJ70" s="1008"/>
      <c r="AK70" s="1008"/>
      <c r="AL70" s="1008"/>
      <c r="AM70" s="1008"/>
      <c r="AN70" s="1008">
        <v>10000000</v>
      </c>
      <c r="AO70" s="1008"/>
      <c r="AP70" s="1008"/>
      <c r="AQ70" s="1008"/>
      <c r="AR70" s="1008"/>
      <c r="AS70" s="1008"/>
      <c r="AU70" s="1011">
        <f t="shared" si="73"/>
        <v>1</v>
      </c>
      <c r="AV70" s="1008">
        <f t="shared" si="74"/>
        <v>20000000</v>
      </c>
      <c r="AW70" s="1008"/>
      <c r="AX70" s="1008"/>
      <c r="AY70" s="1008"/>
      <c r="AZ70" s="1008"/>
      <c r="BA70" s="1008"/>
      <c r="BB70" s="1008">
        <f>+'[9]FEBRERO 2015'!$N$1024-40000000</f>
        <v>10000000</v>
      </c>
      <c r="BC70" s="1008"/>
      <c r="BD70" s="1008"/>
      <c r="BE70" s="1008"/>
      <c r="BF70" s="1008"/>
      <c r="BG70" s="1008"/>
      <c r="BH70" s="1008"/>
      <c r="BI70" s="1008"/>
      <c r="BJ70" s="1008"/>
      <c r="BK70" s="1008">
        <f>+'[8]FEBRERO 2015'!$W$1086</f>
        <v>10000000</v>
      </c>
      <c r="BL70" s="1008"/>
      <c r="BM70" s="1008"/>
      <c r="BN70" s="1008"/>
      <c r="BO70" s="1008"/>
      <c r="BP70" s="1008"/>
      <c r="BQ70" s="1011">
        <f t="shared" si="25"/>
        <v>0</v>
      </c>
      <c r="BR70" s="1008">
        <f t="shared" si="75"/>
        <v>0</v>
      </c>
      <c r="BS70" s="1008">
        <f t="shared" si="76"/>
        <v>0</v>
      </c>
      <c r="BT70" s="1008">
        <f t="shared" si="77"/>
        <v>0</v>
      </c>
      <c r="BU70" s="1008"/>
      <c r="BV70" s="1008">
        <f t="shared" si="78"/>
        <v>0</v>
      </c>
      <c r="BW70" s="1008"/>
      <c r="BX70" s="1008">
        <f t="shared" si="79"/>
        <v>0</v>
      </c>
      <c r="BY70" s="1008">
        <f t="shared" si="79"/>
        <v>0</v>
      </c>
      <c r="BZ70" s="1008"/>
      <c r="CA70" s="1008"/>
      <c r="CB70" s="1008">
        <f t="shared" si="80"/>
        <v>0</v>
      </c>
      <c r="CC70" s="1008"/>
      <c r="CD70" s="1008">
        <f t="shared" si="80"/>
        <v>0</v>
      </c>
      <c r="CE70" s="1008">
        <f t="shared" si="80"/>
        <v>0</v>
      </c>
      <c r="CF70" s="1008">
        <f t="shared" si="80"/>
        <v>0</v>
      </c>
      <c r="CG70" s="1008">
        <f t="shared" si="80"/>
        <v>0</v>
      </c>
      <c r="CH70" s="1008">
        <f t="shared" si="80"/>
        <v>0</v>
      </c>
      <c r="CI70" s="1008">
        <f t="shared" si="80"/>
        <v>0</v>
      </c>
      <c r="CJ70" s="1008"/>
      <c r="CK70" s="1008"/>
      <c r="CL70" s="1008">
        <f t="shared" si="81"/>
        <v>0</v>
      </c>
      <c r="CM70" s="1011">
        <f t="shared" si="82"/>
        <v>0.7927419</v>
      </c>
      <c r="CN70" s="1008">
        <f t="shared" si="83"/>
        <v>15854838</v>
      </c>
      <c r="CO70" s="1008"/>
      <c r="CP70" s="1008"/>
      <c r="CQ70" s="1008"/>
      <c r="CR70" s="1008"/>
      <c r="CS70" s="1008"/>
      <c r="CT70" s="1008">
        <f>+'[18]OCTUBRE 2015'!$H$3397</f>
        <v>5854838</v>
      </c>
      <c r="CU70" s="1008"/>
      <c r="CV70" s="1008"/>
      <c r="CW70" s="1008"/>
      <c r="CX70" s="1008"/>
      <c r="CY70" s="1008"/>
      <c r="CZ70" s="1008"/>
      <c r="DA70" s="1008"/>
      <c r="DB70" s="1008"/>
      <c r="DC70" s="1008">
        <f>+'[17]SEPTIEMBRE 2015'!$H$2955</f>
        <v>10000000</v>
      </c>
      <c r="DD70" s="1008"/>
      <c r="DE70" s="1008"/>
      <c r="DF70" s="1008"/>
      <c r="DG70" s="1008"/>
      <c r="DH70" s="1008"/>
      <c r="DI70" s="1011">
        <f t="shared" si="84"/>
        <v>0.2072581</v>
      </c>
      <c r="DJ70" s="1008">
        <f t="shared" si="85"/>
        <v>4145162</v>
      </c>
      <c r="DK70" s="1008"/>
      <c r="DL70" s="1008"/>
      <c r="DM70" s="1008"/>
      <c r="DN70" s="1008">
        <f t="shared" si="86"/>
        <v>0</v>
      </c>
      <c r="DO70" s="1008"/>
      <c r="DP70" s="1008">
        <f t="shared" si="87"/>
        <v>4145162</v>
      </c>
      <c r="DQ70" s="1008">
        <f t="shared" si="87"/>
        <v>0</v>
      </c>
      <c r="DR70" s="1008"/>
      <c r="DS70" s="1008">
        <f t="shared" si="88"/>
        <v>0</v>
      </c>
      <c r="DT70" s="1008">
        <f t="shared" si="88"/>
        <v>0</v>
      </c>
      <c r="DU70" s="1008"/>
      <c r="DV70" s="1008">
        <f t="shared" si="89"/>
        <v>0</v>
      </c>
      <c r="DW70" s="1008">
        <f t="shared" si="89"/>
        <v>0</v>
      </c>
      <c r="DX70" s="1008">
        <f t="shared" si="89"/>
        <v>0</v>
      </c>
      <c r="DY70" s="1008">
        <f t="shared" si="90"/>
        <v>0</v>
      </c>
      <c r="DZ70" s="1008">
        <f t="shared" si="90"/>
        <v>0</v>
      </c>
      <c r="EA70" s="1008">
        <f t="shared" si="90"/>
        <v>0</v>
      </c>
      <c r="EB70" s="1008">
        <f t="shared" si="90"/>
        <v>0</v>
      </c>
      <c r="EC70" s="1008"/>
      <c r="ED70" s="1008">
        <f t="shared" si="91"/>
        <v>0</v>
      </c>
    </row>
    <row r="71" spans="1:134" ht="48.75" customHeight="1" x14ac:dyDescent="0.25">
      <c r="A71" s="1565"/>
      <c r="B71" s="1019"/>
      <c r="C71" s="1094" t="s">
        <v>4408</v>
      </c>
      <c r="D71" s="1019" t="s">
        <v>4343</v>
      </c>
      <c r="E71" s="1020">
        <v>520</v>
      </c>
      <c r="F71" s="1097" t="s">
        <v>4734</v>
      </c>
      <c r="G71" s="1400"/>
      <c r="H71" s="1061">
        <f t="shared" si="70"/>
        <v>214769444</v>
      </c>
      <c r="I71" s="1061">
        <f t="shared" si="71"/>
        <v>14730556</v>
      </c>
      <c r="J71" s="1097" t="s">
        <v>4852</v>
      </c>
      <c r="K71" s="1093" t="s">
        <v>4856</v>
      </c>
      <c r="L71" s="1093" t="s">
        <v>4862</v>
      </c>
      <c r="M71" s="1093">
        <v>15</v>
      </c>
      <c r="N71" s="1093">
        <v>67</v>
      </c>
      <c r="O71" s="1093">
        <v>10</v>
      </c>
      <c r="P71" s="1093">
        <v>69</v>
      </c>
      <c r="Q71" s="1093">
        <v>18</v>
      </c>
      <c r="R71" s="1093">
        <v>12</v>
      </c>
      <c r="S71" s="1097"/>
      <c r="T71" s="1097"/>
      <c r="U71" s="1097"/>
      <c r="V71" s="1097"/>
      <c r="W71" s="1097"/>
      <c r="X71" s="1097"/>
      <c r="Y71" s="1008">
        <f t="shared" si="72"/>
        <v>229500000</v>
      </c>
      <c r="Z71" s="944"/>
      <c r="AA71" s="1008"/>
      <c r="AB71" s="1008"/>
      <c r="AC71" s="1008"/>
      <c r="AD71" s="1008"/>
      <c r="AE71" s="1008">
        <v>200000000</v>
      </c>
      <c r="AF71" s="1008"/>
      <c r="AG71" s="1008"/>
      <c r="AH71" s="1008"/>
      <c r="AI71" s="1008"/>
      <c r="AJ71" s="1008"/>
      <c r="AK71" s="1008"/>
      <c r="AL71" s="1008"/>
      <c r="AM71" s="1008"/>
      <c r="AN71" s="1008">
        <f>25000000</f>
        <v>25000000</v>
      </c>
      <c r="AO71" s="1008"/>
      <c r="AP71" s="1008"/>
      <c r="AQ71" s="1008"/>
      <c r="AR71" s="1008"/>
      <c r="AS71" s="1008">
        <f>2000000+2500000</f>
        <v>4500000</v>
      </c>
      <c r="AU71" s="1011">
        <f t="shared" si="73"/>
        <v>0.9633876427015251</v>
      </c>
      <c r="AV71" s="1008">
        <f t="shared" si="74"/>
        <v>221097464</v>
      </c>
      <c r="AW71" s="1008"/>
      <c r="AX71" s="1008"/>
      <c r="AY71" s="1008"/>
      <c r="AZ71" s="1008"/>
      <c r="BA71" s="1008"/>
      <c r="BB71" s="1008">
        <f>+'[9]FEBRERO 2015'!$N$1029</f>
        <v>200000000</v>
      </c>
      <c r="BC71" s="1008"/>
      <c r="BD71" s="1008"/>
      <c r="BE71" s="1008"/>
      <c r="BF71" s="1008"/>
      <c r="BG71" s="1008"/>
      <c r="BH71" s="1008"/>
      <c r="BI71" s="1008"/>
      <c r="BJ71" s="1008"/>
      <c r="BK71" s="1008">
        <f>+'[18]OCTUBRE 2015'!$X$3408</f>
        <v>16597464</v>
      </c>
      <c r="BL71" s="1008"/>
      <c r="BM71" s="1008"/>
      <c r="BN71" s="1008"/>
      <c r="BO71" s="1008"/>
      <c r="BP71" s="1008">
        <f>+'[15]JULIO 2015'!$AD$2168</f>
        <v>4500000</v>
      </c>
      <c r="BQ71" s="1011">
        <f t="shared" si="25"/>
        <v>3.6612357298474896E-2</v>
      </c>
      <c r="BR71" s="1008">
        <f t="shared" si="75"/>
        <v>8402536</v>
      </c>
      <c r="BS71" s="1008">
        <f t="shared" si="76"/>
        <v>0</v>
      </c>
      <c r="BT71" s="1008">
        <f t="shared" si="77"/>
        <v>0</v>
      </c>
      <c r="BU71" s="1008"/>
      <c r="BV71" s="1008">
        <f t="shared" si="78"/>
        <v>0</v>
      </c>
      <c r="BW71" s="1008"/>
      <c r="BX71" s="1008">
        <f t="shared" si="79"/>
        <v>0</v>
      </c>
      <c r="BY71" s="1008">
        <f t="shared" si="79"/>
        <v>0</v>
      </c>
      <c r="BZ71" s="1008"/>
      <c r="CA71" s="1008">
        <f>+AH71-BE71</f>
        <v>0</v>
      </c>
      <c r="CB71" s="1008">
        <f t="shared" si="80"/>
        <v>0</v>
      </c>
      <c r="CC71" s="1008">
        <f t="shared" si="80"/>
        <v>0</v>
      </c>
      <c r="CD71" s="1008">
        <f t="shared" si="80"/>
        <v>0</v>
      </c>
      <c r="CE71" s="1008">
        <f t="shared" si="80"/>
        <v>0</v>
      </c>
      <c r="CF71" s="1008">
        <f t="shared" si="80"/>
        <v>0</v>
      </c>
      <c r="CG71" s="1008">
        <f t="shared" si="80"/>
        <v>8402536</v>
      </c>
      <c r="CH71" s="1008">
        <f t="shared" si="80"/>
        <v>0</v>
      </c>
      <c r="CI71" s="1008">
        <f t="shared" si="80"/>
        <v>0</v>
      </c>
      <c r="CJ71" s="1008"/>
      <c r="CK71" s="1008"/>
      <c r="CL71" s="1008">
        <f t="shared" si="81"/>
        <v>0</v>
      </c>
      <c r="CM71" s="1011">
        <f t="shared" si="82"/>
        <v>0.9358145708061002</v>
      </c>
      <c r="CN71" s="1008">
        <f t="shared" si="83"/>
        <v>214769444</v>
      </c>
      <c r="CO71" s="1008"/>
      <c r="CP71" s="1008"/>
      <c r="CQ71" s="1008"/>
      <c r="CR71" s="1008"/>
      <c r="CS71" s="1008"/>
      <c r="CT71" s="1008">
        <f>+'[17]SEPTIEMBRE 2015'!$H$2966</f>
        <v>196216648</v>
      </c>
      <c r="CU71" s="1008"/>
      <c r="CV71" s="1008"/>
      <c r="CW71" s="1008"/>
      <c r="CX71" s="1008"/>
      <c r="CY71" s="1008"/>
      <c r="CZ71" s="1008"/>
      <c r="DA71" s="1008"/>
      <c r="DB71" s="1008"/>
      <c r="DC71" s="1008">
        <f>+'[18]OCTUBRE 2015'!$H$3489+'[18]OCTUBRE 2015'!$H$3490+'[18]OCTUBRE 2015'!$H$3491+'[18]OCTUBRE 2015'!$H$3492+'[18]OCTUBRE 2015'!$H$3493+'[18]OCTUBRE 2015'!$H$3494+'[18]OCTUBRE 2015'!$H$3495+'[18]OCTUBRE 2015'!$H$3496+'[18]OCTUBRE 2015'!$H$3497</f>
        <v>16597464</v>
      </c>
      <c r="DD71" s="1008"/>
      <c r="DE71" s="1008"/>
      <c r="DF71" s="1008"/>
      <c r="DG71" s="1008"/>
      <c r="DH71" s="1008">
        <f>+'[18]OCTUBRE 2015'!$H$3409+'[18]OCTUBRE 2015'!$H$3486</f>
        <v>1955332</v>
      </c>
      <c r="DI71" s="1011">
        <f t="shared" si="84"/>
        <v>6.4185429193899801E-2</v>
      </c>
      <c r="DJ71" s="1008">
        <f t="shared" si="85"/>
        <v>14730556</v>
      </c>
      <c r="DK71" s="1008"/>
      <c r="DL71" s="1008"/>
      <c r="DM71" s="1008"/>
      <c r="DN71" s="1008">
        <f t="shared" si="86"/>
        <v>0</v>
      </c>
      <c r="DO71" s="1008"/>
      <c r="DP71" s="1008">
        <f t="shared" si="87"/>
        <v>3783352</v>
      </c>
      <c r="DQ71" s="1008">
        <f t="shared" si="87"/>
        <v>0</v>
      </c>
      <c r="DR71" s="1008"/>
      <c r="DS71" s="1008">
        <f t="shared" si="88"/>
        <v>0</v>
      </c>
      <c r="DT71" s="1008">
        <f t="shared" si="88"/>
        <v>0</v>
      </c>
      <c r="DU71" s="1008"/>
      <c r="DV71" s="1008">
        <f t="shared" si="89"/>
        <v>0</v>
      </c>
      <c r="DW71" s="1008">
        <f t="shared" si="89"/>
        <v>0</v>
      </c>
      <c r="DX71" s="1008">
        <f t="shared" si="89"/>
        <v>0</v>
      </c>
      <c r="DY71" s="1008">
        <f t="shared" si="90"/>
        <v>8402536</v>
      </c>
      <c r="DZ71" s="1008">
        <f t="shared" si="90"/>
        <v>0</v>
      </c>
      <c r="EA71" s="1008">
        <f t="shared" si="90"/>
        <v>0</v>
      </c>
      <c r="EB71" s="1008">
        <f t="shared" si="90"/>
        <v>0</v>
      </c>
      <c r="EC71" s="1008"/>
      <c r="ED71" s="1008">
        <f t="shared" si="91"/>
        <v>2544668</v>
      </c>
    </row>
    <row r="72" spans="1:134" ht="45" customHeight="1" x14ac:dyDescent="0.25">
      <c r="A72" s="1565"/>
      <c r="B72" s="1019"/>
      <c r="C72" s="1094" t="s">
        <v>4409</v>
      </c>
      <c r="D72" s="1019" t="s">
        <v>4346</v>
      </c>
      <c r="E72" s="1020">
        <v>520</v>
      </c>
      <c r="F72" s="1097" t="s">
        <v>4735</v>
      </c>
      <c r="G72" s="1400"/>
      <c r="H72" s="1061">
        <f t="shared" si="70"/>
        <v>36778434</v>
      </c>
      <c r="I72" s="1061">
        <f t="shared" si="71"/>
        <v>9221566</v>
      </c>
      <c r="J72" s="1399" t="s">
        <v>4853</v>
      </c>
      <c r="K72" s="1283" t="s">
        <v>4857</v>
      </c>
      <c r="L72" s="1283" t="s">
        <v>4853</v>
      </c>
      <c r="M72" s="1093">
        <v>39</v>
      </c>
      <c r="N72" s="1093">
        <v>0</v>
      </c>
      <c r="O72" s="1093">
        <v>0</v>
      </c>
      <c r="P72" s="1093">
        <v>21</v>
      </c>
      <c r="Q72" s="1093">
        <v>0</v>
      </c>
      <c r="R72" s="1093">
        <v>0</v>
      </c>
      <c r="S72" s="1097"/>
      <c r="T72" s="1097"/>
      <c r="U72" s="1097"/>
      <c r="V72" s="1097"/>
      <c r="W72" s="1097"/>
      <c r="X72" s="1097"/>
      <c r="Y72" s="1008">
        <f t="shared" si="72"/>
        <v>46000000</v>
      </c>
      <c r="Z72" s="944"/>
      <c r="AA72" s="1008"/>
      <c r="AB72" s="1008"/>
      <c r="AC72" s="1008"/>
      <c r="AD72" s="1008"/>
      <c r="AE72" s="1008"/>
      <c r="AF72" s="1008"/>
      <c r="AG72" s="1008"/>
      <c r="AH72" s="1008"/>
      <c r="AI72" s="1008"/>
      <c r="AJ72" s="1008"/>
      <c r="AK72" s="1008"/>
      <c r="AL72" s="1008"/>
      <c r="AM72" s="1008"/>
      <c r="AN72" s="1008"/>
      <c r="AO72" s="1008"/>
      <c r="AP72" s="1008"/>
      <c r="AQ72" s="1008"/>
      <c r="AR72" s="1008"/>
      <c r="AS72" s="1008">
        <f>25000000+17000000+4000000</f>
        <v>46000000</v>
      </c>
      <c r="AU72" s="1011">
        <f t="shared" si="73"/>
        <v>0.80155789130434785</v>
      </c>
      <c r="AV72" s="1008">
        <f t="shared" si="74"/>
        <v>36871663</v>
      </c>
      <c r="AW72" s="1008"/>
      <c r="AX72" s="1008"/>
      <c r="AY72" s="1008"/>
      <c r="AZ72" s="1008"/>
      <c r="BA72" s="1008"/>
      <c r="BB72" s="1008"/>
      <c r="BC72" s="1008"/>
      <c r="BD72" s="1008"/>
      <c r="BE72" s="1008"/>
      <c r="BF72" s="1008"/>
      <c r="BG72" s="1008"/>
      <c r="BH72" s="1008"/>
      <c r="BI72" s="1008"/>
      <c r="BJ72" s="1008"/>
      <c r="BK72" s="1008"/>
      <c r="BL72" s="1008"/>
      <c r="BM72" s="1008"/>
      <c r="BN72" s="1008"/>
      <c r="BO72" s="1008"/>
      <c r="BP72" s="1008">
        <f>+'[18]OCTUBRE 2015'!$AD$3501</f>
        <v>36871663</v>
      </c>
      <c r="BQ72" s="1011">
        <f t="shared" si="25"/>
        <v>0.19844210869565215</v>
      </c>
      <c r="BR72" s="1008">
        <f t="shared" si="75"/>
        <v>9128337</v>
      </c>
      <c r="BS72" s="1008">
        <f t="shared" si="76"/>
        <v>0</v>
      </c>
      <c r="BT72" s="1008">
        <f t="shared" si="77"/>
        <v>0</v>
      </c>
      <c r="BU72" s="1008"/>
      <c r="BV72" s="1008">
        <f t="shared" si="78"/>
        <v>0</v>
      </c>
      <c r="BW72" s="1008"/>
      <c r="BX72" s="1008">
        <f t="shared" si="79"/>
        <v>0</v>
      </c>
      <c r="BY72" s="1008">
        <f t="shared" si="79"/>
        <v>0</v>
      </c>
      <c r="BZ72" s="1008"/>
      <c r="CA72" s="1008">
        <f>+AH72-BE72</f>
        <v>0</v>
      </c>
      <c r="CB72" s="1008">
        <f t="shared" si="80"/>
        <v>0</v>
      </c>
      <c r="CC72" s="1008">
        <f t="shared" si="80"/>
        <v>0</v>
      </c>
      <c r="CD72" s="1008">
        <f t="shared" si="80"/>
        <v>0</v>
      </c>
      <c r="CE72" s="1008">
        <f t="shared" si="80"/>
        <v>0</v>
      </c>
      <c r="CF72" s="1008">
        <f t="shared" si="80"/>
        <v>0</v>
      </c>
      <c r="CG72" s="1008">
        <f t="shared" si="80"/>
        <v>0</v>
      </c>
      <c r="CH72" s="1008">
        <f t="shared" si="80"/>
        <v>0</v>
      </c>
      <c r="CI72" s="1008">
        <f t="shared" si="80"/>
        <v>0</v>
      </c>
      <c r="CJ72" s="1008">
        <f>+AQ72-BN72</f>
        <v>0</v>
      </c>
      <c r="CK72" s="1008"/>
      <c r="CL72" s="1008">
        <f t="shared" si="81"/>
        <v>9128337</v>
      </c>
      <c r="CM72" s="1011">
        <f t="shared" si="82"/>
        <v>0.79953117391304351</v>
      </c>
      <c r="CN72" s="1008">
        <f t="shared" si="83"/>
        <v>36778434</v>
      </c>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f>+'[18]OCTUBRE 2015'!$H$3499</f>
        <v>36778434</v>
      </c>
      <c r="DI72" s="1011">
        <f t="shared" si="84"/>
        <v>0.20046882608695649</v>
      </c>
      <c r="DJ72" s="1008">
        <f t="shared" si="85"/>
        <v>9221566</v>
      </c>
      <c r="DK72" s="1008"/>
      <c r="DL72" s="1008"/>
      <c r="DM72" s="1008"/>
      <c r="DN72" s="1008">
        <f t="shared" si="86"/>
        <v>0</v>
      </c>
      <c r="DO72" s="1008"/>
      <c r="DP72" s="1008">
        <f t="shared" si="87"/>
        <v>0</v>
      </c>
      <c r="DQ72" s="1008">
        <f t="shared" si="87"/>
        <v>0</v>
      </c>
      <c r="DR72" s="1008"/>
      <c r="DS72" s="1008">
        <f t="shared" si="88"/>
        <v>0</v>
      </c>
      <c r="DT72" s="1008">
        <f t="shared" si="88"/>
        <v>0</v>
      </c>
      <c r="DU72" s="1008"/>
      <c r="DV72" s="1008">
        <f t="shared" si="89"/>
        <v>0</v>
      </c>
      <c r="DW72" s="1008">
        <f t="shared" si="89"/>
        <v>0</v>
      </c>
      <c r="DX72" s="1008">
        <f t="shared" si="89"/>
        <v>0</v>
      </c>
      <c r="DY72" s="1008">
        <f t="shared" si="90"/>
        <v>0</v>
      </c>
      <c r="DZ72" s="1008">
        <f t="shared" si="90"/>
        <v>0</v>
      </c>
      <c r="EA72" s="1008">
        <f t="shared" si="90"/>
        <v>0</v>
      </c>
      <c r="EB72" s="1008">
        <f t="shared" si="90"/>
        <v>0</v>
      </c>
      <c r="EC72" s="1008"/>
      <c r="ED72" s="1008">
        <f t="shared" si="91"/>
        <v>9221566</v>
      </c>
    </row>
    <row r="73" spans="1:134" ht="40.5" customHeight="1" x14ac:dyDescent="0.25">
      <c r="A73" s="1565"/>
      <c r="B73" s="1019"/>
      <c r="C73" s="1094" t="s">
        <v>4410</v>
      </c>
      <c r="D73" s="1019" t="s">
        <v>4613</v>
      </c>
      <c r="E73" s="1020">
        <v>520</v>
      </c>
      <c r="F73" s="1097" t="s">
        <v>4345</v>
      </c>
      <c r="G73" s="1401"/>
      <c r="H73" s="1061">
        <f t="shared" si="70"/>
        <v>2592254</v>
      </c>
      <c r="I73" s="1061">
        <f t="shared" si="71"/>
        <v>407746</v>
      </c>
      <c r="J73" s="1401"/>
      <c r="K73" s="1284"/>
      <c r="L73" s="1284"/>
      <c r="M73" s="1093">
        <v>81</v>
      </c>
      <c r="N73" s="1093">
        <v>0</v>
      </c>
      <c r="O73" s="1093">
        <v>24</v>
      </c>
      <c r="P73" s="1093">
        <v>59</v>
      </c>
      <c r="Q73" s="1093">
        <v>0</v>
      </c>
      <c r="R73" s="1093">
        <v>0</v>
      </c>
      <c r="S73" s="1097"/>
      <c r="T73" s="1097"/>
      <c r="U73" s="1097"/>
      <c r="V73" s="1097"/>
      <c r="W73" s="1097"/>
      <c r="X73" s="1097"/>
      <c r="Y73" s="1008">
        <f t="shared" si="72"/>
        <v>3000000</v>
      </c>
      <c r="Z73" s="944"/>
      <c r="AA73" s="1008"/>
      <c r="AB73" s="1008"/>
      <c r="AC73" s="1008"/>
      <c r="AD73" s="1008"/>
      <c r="AE73" s="1008"/>
      <c r="AF73" s="1008"/>
      <c r="AG73" s="1008"/>
      <c r="AH73" s="1008"/>
      <c r="AI73" s="1008"/>
      <c r="AJ73" s="1008"/>
      <c r="AK73" s="1008"/>
      <c r="AL73" s="1008"/>
      <c r="AM73" s="1008"/>
      <c r="AN73" s="1008"/>
      <c r="AO73" s="1008"/>
      <c r="AP73" s="1008"/>
      <c r="AQ73" s="1008"/>
      <c r="AR73" s="1008"/>
      <c r="AS73" s="1008">
        <f>2000000+1000000</f>
        <v>3000000</v>
      </c>
      <c r="AU73" s="1011">
        <f t="shared" si="73"/>
        <v>1</v>
      </c>
      <c r="AV73" s="1008">
        <f t="shared" si="74"/>
        <v>3000000</v>
      </c>
      <c r="AW73" s="1008"/>
      <c r="AX73" s="1008"/>
      <c r="AY73" s="1008"/>
      <c r="AZ73" s="1008"/>
      <c r="BA73" s="1008"/>
      <c r="BB73" s="1008"/>
      <c r="BC73" s="1008"/>
      <c r="BD73" s="1008"/>
      <c r="BE73" s="1008"/>
      <c r="BF73" s="1008"/>
      <c r="BG73" s="1008"/>
      <c r="BH73" s="1008"/>
      <c r="BI73" s="1008"/>
      <c r="BJ73" s="1008"/>
      <c r="BK73" s="1008"/>
      <c r="BL73" s="1008"/>
      <c r="BM73" s="1008"/>
      <c r="BN73" s="1008"/>
      <c r="BO73" s="1008"/>
      <c r="BP73" s="1008">
        <f>+'[15]JULIO 2015'!$AD$2253</f>
        <v>3000000</v>
      </c>
      <c r="BQ73" s="1011">
        <f t="shared" si="25"/>
        <v>0</v>
      </c>
      <c r="BR73" s="1008">
        <f t="shared" si="75"/>
        <v>0</v>
      </c>
      <c r="BS73" s="1008">
        <f t="shared" si="76"/>
        <v>0</v>
      </c>
      <c r="BT73" s="1008">
        <f t="shared" si="77"/>
        <v>0</v>
      </c>
      <c r="BU73" s="1008"/>
      <c r="BV73" s="1008">
        <f t="shared" si="78"/>
        <v>0</v>
      </c>
      <c r="BW73" s="1008"/>
      <c r="BX73" s="1008">
        <f t="shared" si="79"/>
        <v>0</v>
      </c>
      <c r="BY73" s="1008">
        <f t="shared" si="79"/>
        <v>0</v>
      </c>
      <c r="BZ73" s="1008"/>
      <c r="CA73" s="1008"/>
      <c r="CB73" s="1008">
        <f t="shared" si="80"/>
        <v>0</v>
      </c>
      <c r="CC73" s="1008">
        <f t="shared" si="80"/>
        <v>0</v>
      </c>
      <c r="CD73" s="1008">
        <f t="shared" si="80"/>
        <v>0</v>
      </c>
      <c r="CE73" s="1008">
        <f t="shared" si="80"/>
        <v>0</v>
      </c>
      <c r="CF73" s="1008">
        <f t="shared" si="80"/>
        <v>0</v>
      </c>
      <c r="CG73" s="1008">
        <f t="shared" si="80"/>
        <v>0</v>
      </c>
      <c r="CH73" s="1008">
        <f t="shared" si="80"/>
        <v>0</v>
      </c>
      <c r="CI73" s="1008">
        <f t="shared" si="80"/>
        <v>0</v>
      </c>
      <c r="CJ73" s="1008"/>
      <c r="CK73" s="1008"/>
      <c r="CL73" s="1008">
        <f t="shared" si="81"/>
        <v>0</v>
      </c>
      <c r="CM73" s="1011">
        <f t="shared" si="82"/>
        <v>0.86408466666666661</v>
      </c>
      <c r="CN73" s="1008">
        <f t="shared" si="83"/>
        <v>2592254</v>
      </c>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f>+'[18]OCTUBRE 2015'!$H$3517</f>
        <v>2592254</v>
      </c>
      <c r="DI73" s="1011">
        <f t="shared" si="84"/>
        <v>0.13591533333333339</v>
      </c>
      <c r="DJ73" s="1008">
        <f t="shared" si="85"/>
        <v>407746</v>
      </c>
      <c r="DK73" s="1008"/>
      <c r="DL73" s="1008"/>
      <c r="DM73" s="1008"/>
      <c r="DN73" s="1008">
        <f t="shared" si="86"/>
        <v>0</v>
      </c>
      <c r="DO73" s="1008"/>
      <c r="DP73" s="1008">
        <f t="shared" si="87"/>
        <v>0</v>
      </c>
      <c r="DQ73" s="1008">
        <f t="shared" si="87"/>
        <v>0</v>
      </c>
      <c r="DR73" s="1008"/>
      <c r="DS73" s="1008">
        <f t="shared" si="88"/>
        <v>0</v>
      </c>
      <c r="DT73" s="1008">
        <f t="shared" si="88"/>
        <v>0</v>
      </c>
      <c r="DU73" s="1008"/>
      <c r="DV73" s="1008">
        <f t="shared" si="89"/>
        <v>0</v>
      </c>
      <c r="DW73" s="1008">
        <f t="shared" si="89"/>
        <v>0</v>
      </c>
      <c r="DX73" s="1008">
        <f t="shared" si="89"/>
        <v>0</v>
      </c>
      <c r="DY73" s="1008">
        <f t="shared" si="90"/>
        <v>0</v>
      </c>
      <c r="DZ73" s="1008">
        <f t="shared" si="90"/>
        <v>0</v>
      </c>
      <c r="EA73" s="1008">
        <f t="shared" si="90"/>
        <v>0</v>
      </c>
      <c r="EB73" s="1008">
        <f t="shared" si="90"/>
        <v>0</v>
      </c>
      <c r="EC73" s="1008"/>
      <c r="ED73" s="1008">
        <f t="shared" si="91"/>
        <v>407746</v>
      </c>
    </row>
    <row r="74" spans="1:134" ht="51.75" customHeight="1" x14ac:dyDescent="0.25">
      <c r="A74" s="1565"/>
      <c r="B74" s="1019" t="s">
        <v>4348</v>
      </c>
      <c r="C74" s="1094" t="s">
        <v>4411</v>
      </c>
      <c r="D74" s="1019" t="s">
        <v>4614</v>
      </c>
      <c r="E74" s="1020">
        <v>520</v>
      </c>
      <c r="F74" s="1097" t="s">
        <v>3350</v>
      </c>
      <c r="G74" s="1399">
        <v>100000000</v>
      </c>
      <c r="H74" s="1061">
        <f t="shared" si="70"/>
        <v>1809494</v>
      </c>
      <c r="I74" s="1061">
        <f t="shared" si="71"/>
        <v>23190506</v>
      </c>
      <c r="J74" s="1399" t="s">
        <v>4858</v>
      </c>
      <c r="K74" s="1283" t="s">
        <v>4859</v>
      </c>
      <c r="L74" s="1283" t="s">
        <v>4863</v>
      </c>
      <c r="M74" s="1093">
        <v>0</v>
      </c>
      <c r="N74" s="1093">
        <v>0</v>
      </c>
      <c r="O74" s="1093">
        <v>0</v>
      </c>
      <c r="P74" s="1093">
        <v>0</v>
      </c>
      <c r="Q74" s="1093">
        <v>0</v>
      </c>
      <c r="R74" s="1093">
        <v>0</v>
      </c>
      <c r="S74" s="1097"/>
      <c r="T74" s="1097"/>
      <c r="U74" s="1097"/>
      <c r="V74" s="1097"/>
      <c r="W74" s="1097"/>
      <c r="X74" s="1097"/>
      <c r="Y74" s="1008">
        <f t="shared" si="72"/>
        <v>25000000</v>
      </c>
      <c r="Z74" s="944"/>
      <c r="AA74" s="1008"/>
      <c r="AB74" s="1008"/>
      <c r="AC74" s="1008"/>
      <c r="AD74" s="1008"/>
      <c r="AE74" s="1008"/>
      <c r="AF74" s="1008">
        <f>50000000-25000000</f>
        <v>25000000</v>
      </c>
      <c r="AG74" s="1008"/>
      <c r="AH74" s="1008"/>
      <c r="AI74" s="1008"/>
      <c r="AJ74" s="1008"/>
      <c r="AK74" s="1008"/>
      <c r="AL74" s="1008"/>
      <c r="AM74" s="1008"/>
      <c r="AN74" s="1008"/>
      <c r="AO74" s="1008"/>
      <c r="AP74" s="1008"/>
      <c r="AQ74" s="1008"/>
      <c r="AR74" s="1008"/>
      <c r="AS74" s="1008"/>
      <c r="AU74" s="1011">
        <f t="shared" si="73"/>
        <v>0.8</v>
      </c>
      <c r="AV74" s="1008">
        <f t="shared" si="74"/>
        <v>20000000</v>
      </c>
      <c r="AW74" s="1008"/>
      <c r="AX74" s="1008"/>
      <c r="AY74" s="1008"/>
      <c r="AZ74" s="1008"/>
      <c r="BA74" s="1008"/>
      <c r="BB74" s="1008"/>
      <c r="BC74" s="1008">
        <f>+'[18]OCTUBRE 2015'!$P$3532</f>
        <v>20000000</v>
      </c>
      <c r="BD74" s="1008"/>
      <c r="BE74" s="1008"/>
      <c r="BF74" s="1008"/>
      <c r="BG74" s="1008"/>
      <c r="BH74" s="1008"/>
      <c r="BI74" s="1008"/>
      <c r="BJ74" s="1008"/>
      <c r="BK74" s="1008"/>
      <c r="BL74" s="1008"/>
      <c r="BM74" s="1008"/>
      <c r="BN74" s="1008"/>
      <c r="BO74" s="1008"/>
      <c r="BP74" s="1008"/>
      <c r="BQ74" s="1011">
        <f t="shared" si="25"/>
        <v>0.19999999999999996</v>
      </c>
      <c r="BR74" s="1008">
        <f t="shared" si="75"/>
        <v>5000000</v>
      </c>
      <c r="BS74" s="1008">
        <f t="shared" si="76"/>
        <v>0</v>
      </c>
      <c r="BT74" s="1008">
        <f t="shared" si="77"/>
        <v>0</v>
      </c>
      <c r="BU74" s="1008"/>
      <c r="BV74" s="1008">
        <f t="shared" si="78"/>
        <v>0</v>
      </c>
      <c r="BW74" s="1008"/>
      <c r="BX74" s="1008">
        <f t="shared" si="79"/>
        <v>0</v>
      </c>
      <c r="BY74" s="1008">
        <f t="shared" si="79"/>
        <v>5000000</v>
      </c>
      <c r="BZ74" s="1008"/>
      <c r="CA74" s="1008">
        <f>+AH74-BE74</f>
        <v>0</v>
      </c>
      <c r="CB74" s="1008">
        <f t="shared" si="80"/>
        <v>0</v>
      </c>
      <c r="CC74" s="1008">
        <f t="shared" si="80"/>
        <v>0</v>
      </c>
      <c r="CD74" s="1008">
        <f t="shared" si="80"/>
        <v>0</v>
      </c>
      <c r="CE74" s="1008">
        <f t="shared" si="80"/>
        <v>0</v>
      </c>
      <c r="CF74" s="1008">
        <f t="shared" si="80"/>
        <v>0</v>
      </c>
      <c r="CG74" s="1008">
        <f t="shared" si="80"/>
        <v>0</v>
      </c>
      <c r="CH74" s="1008">
        <f t="shared" si="80"/>
        <v>0</v>
      </c>
      <c r="CI74" s="1008">
        <f t="shared" si="80"/>
        <v>0</v>
      </c>
      <c r="CJ74" s="1008">
        <f>+AQ74-BN74</f>
        <v>0</v>
      </c>
      <c r="CK74" s="1008"/>
      <c r="CL74" s="1008">
        <f t="shared" si="81"/>
        <v>0</v>
      </c>
      <c r="CM74" s="1011">
        <f t="shared" si="82"/>
        <v>7.2379760000000001E-2</v>
      </c>
      <c r="CN74" s="1008">
        <f t="shared" si="83"/>
        <v>1809494</v>
      </c>
      <c r="CO74" s="1008"/>
      <c r="CP74" s="1008"/>
      <c r="CQ74" s="1008"/>
      <c r="CR74" s="1008"/>
      <c r="CS74" s="1008"/>
      <c r="CT74" s="1008"/>
      <c r="CU74" s="1008">
        <f>+'[18]OCTUBRE 2015'!$H$3530</f>
        <v>1809494</v>
      </c>
      <c r="CV74" s="1008"/>
      <c r="CW74" s="1008"/>
      <c r="CX74" s="1008"/>
      <c r="CY74" s="1008"/>
      <c r="CZ74" s="1008"/>
      <c r="DA74" s="1008"/>
      <c r="DB74" s="1008"/>
      <c r="DC74" s="1008"/>
      <c r="DD74" s="1008"/>
      <c r="DE74" s="1008"/>
      <c r="DF74" s="1008"/>
      <c r="DG74" s="1008"/>
      <c r="DH74" s="1008"/>
      <c r="DI74" s="1011">
        <f t="shared" si="84"/>
        <v>0.92762023999999998</v>
      </c>
      <c r="DJ74" s="1008">
        <f t="shared" si="85"/>
        <v>23190506</v>
      </c>
      <c r="DK74" s="1008"/>
      <c r="DL74" s="1008"/>
      <c r="DM74" s="1008"/>
      <c r="DN74" s="1008">
        <f t="shared" si="86"/>
        <v>0</v>
      </c>
      <c r="DO74" s="1008"/>
      <c r="DP74" s="1008">
        <f t="shared" si="87"/>
        <v>0</v>
      </c>
      <c r="DQ74" s="1008">
        <f t="shared" si="87"/>
        <v>23190506</v>
      </c>
      <c r="DR74" s="1008"/>
      <c r="DS74" s="1008">
        <f t="shared" si="88"/>
        <v>0</v>
      </c>
      <c r="DT74" s="1008">
        <f t="shared" si="88"/>
        <v>0</v>
      </c>
      <c r="DU74" s="1008"/>
      <c r="DV74" s="1008">
        <f t="shared" si="89"/>
        <v>0</v>
      </c>
      <c r="DW74" s="1008">
        <f t="shared" si="89"/>
        <v>0</v>
      </c>
      <c r="DX74" s="1008">
        <f t="shared" si="89"/>
        <v>0</v>
      </c>
      <c r="DY74" s="1008">
        <f t="shared" si="90"/>
        <v>0</v>
      </c>
      <c r="DZ74" s="1008">
        <f t="shared" si="90"/>
        <v>0</v>
      </c>
      <c r="EA74" s="1008">
        <f t="shared" si="90"/>
        <v>0</v>
      </c>
      <c r="EB74" s="1008">
        <f t="shared" si="90"/>
        <v>0</v>
      </c>
      <c r="EC74" s="1008"/>
      <c r="ED74" s="1008">
        <f t="shared" si="91"/>
        <v>0</v>
      </c>
    </row>
    <row r="75" spans="1:134" ht="34.5" customHeight="1" x14ac:dyDescent="0.25">
      <c r="A75" s="1565"/>
      <c r="B75" s="1019"/>
      <c r="C75" s="1094" t="s">
        <v>4412</v>
      </c>
      <c r="D75" s="1019" t="s">
        <v>4615</v>
      </c>
      <c r="E75" s="1020">
        <v>520</v>
      </c>
      <c r="F75" s="1097" t="s">
        <v>3350</v>
      </c>
      <c r="G75" s="1400"/>
      <c r="H75" s="1061">
        <f t="shared" si="70"/>
        <v>28800000</v>
      </c>
      <c r="I75" s="1061">
        <f t="shared" si="71"/>
        <v>1200000</v>
      </c>
      <c r="J75" s="1400"/>
      <c r="K75" s="1573"/>
      <c r="L75" s="1573"/>
      <c r="M75" s="1093">
        <v>66</v>
      </c>
      <c r="N75" s="1093">
        <v>50</v>
      </c>
      <c r="O75" s="1093">
        <v>33</v>
      </c>
      <c r="P75" s="1093">
        <v>79</v>
      </c>
      <c r="Q75" s="1093">
        <v>100</v>
      </c>
      <c r="R75" s="1093">
        <v>79</v>
      </c>
      <c r="S75" s="1097"/>
      <c r="T75" s="1097"/>
      <c r="U75" s="1097"/>
      <c r="V75" s="1097"/>
      <c r="W75" s="1097"/>
      <c r="X75" s="1097"/>
      <c r="Y75" s="1008">
        <f t="shared" si="72"/>
        <v>30000000</v>
      </c>
      <c r="Z75" s="944"/>
      <c r="AA75" s="1008"/>
      <c r="AB75" s="1008"/>
      <c r="AC75" s="1008"/>
      <c r="AD75" s="1008"/>
      <c r="AE75" s="1008">
        <v>20000000</v>
      </c>
      <c r="AF75" s="1008"/>
      <c r="AG75" s="1008"/>
      <c r="AH75" s="1008"/>
      <c r="AI75" s="1008"/>
      <c r="AJ75" s="1008"/>
      <c r="AK75" s="1008"/>
      <c r="AL75" s="1008"/>
      <c r="AM75" s="1008"/>
      <c r="AN75" s="1008">
        <v>10000000</v>
      </c>
      <c r="AO75" s="1008"/>
      <c r="AP75" s="1008"/>
      <c r="AQ75" s="1008"/>
      <c r="AR75" s="1008"/>
      <c r="AS75" s="1008"/>
      <c r="AU75" s="1011">
        <f t="shared" si="73"/>
        <v>1</v>
      </c>
      <c r="AV75" s="1008">
        <f t="shared" si="74"/>
        <v>30000000</v>
      </c>
      <c r="AW75" s="1008"/>
      <c r="AX75" s="1008"/>
      <c r="AY75" s="1008"/>
      <c r="AZ75" s="1008"/>
      <c r="BA75" s="1008"/>
      <c r="BB75" s="1008">
        <f>+'[7]ENERO 2015'!$L$922</f>
        <v>20000000</v>
      </c>
      <c r="BC75" s="1008"/>
      <c r="BD75" s="1008"/>
      <c r="BE75" s="1008"/>
      <c r="BF75" s="1008"/>
      <c r="BG75" s="1008"/>
      <c r="BH75" s="1008"/>
      <c r="BI75" s="1008"/>
      <c r="BJ75" s="1008"/>
      <c r="BK75" s="1008">
        <f>+'[8]FEBRERO 2015'!$W$1134</f>
        <v>10000000</v>
      </c>
      <c r="BL75" s="1008"/>
      <c r="BM75" s="1008"/>
      <c r="BN75" s="1008"/>
      <c r="BO75" s="1008"/>
      <c r="BP75" s="1008"/>
      <c r="BQ75" s="1011">
        <f t="shared" si="25"/>
        <v>0</v>
      </c>
      <c r="BR75" s="1008">
        <f t="shared" si="75"/>
        <v>0</v>
      </c>
      <c r="BS75" s="1008">
        <f t="shared" si="76"/>
        <v>0</v>
      </c>
      <c r="BT75" s="1008">
        <f t="shared" si="77"/>
        <v>0</v>
      </c>
      <c r="BU75" s="1008"/>
      <c r="BV75" s="1008">
        <f t="shared" si="78"/>
        <v>0</v>
      </c>
      <c r="BW75" s="1008"/>
      <c r="BX75" s="1008">
        <f t="shared" si="79"/>
        <v>0</v>
      </c>
      <c r="BY75" s="1008">
        <f t="shared" si="79"/>
        <v>0</v>
      </c>
      <c r="BZ75" s="1008"/>
      <c r="CA75" s="1008">
        <f>+AH75-BE75</f>
        <v>0</v>
      </c>
      <c r="CB75" s="1008">
        <f t="shared" si="80"/>
        <v>0</v>
      </c>
      <c r="CC75" s="1008">
        <f t="shared" si="80"/>
        <v>0</v>
      </c>
      <c r="CD75" s="1008">
        <f t="shared" si="80"/>
        <v>0</v>
      </c>
      <c r="CE75" s="1008">
        <f t="shared" si="80"/>
        <v>0</v>
      </c>
      <c r="CF75" s="1008">
        <f t="shared" si="80"/>
        <v>0</v>
      </c>
      <c r="CG75" s="1008">
        <f t="shared" si="80"/>
        <v>0</v>
      </c>
      <c r="CH75" s="1008">
        <f t="shared" si="80"/>
        <v>0</v>
      </c>
      <c r="CI75" s="1008">
        <f t="shared" si="80"/>
        <v>0</v>
      </c>
      <c r="CJ75" s="1008">
        <f>+AQ75-BN75</f>
        <v>0</v>
      </c>
      <c r="CK75" s="1008"/>
      <c r="CL75" s="1008">
        <f t="shared" si="81"/>
        <v>0</v>
      </c>
      <c r="CM75" s="1011">
        <f t="shared" si="82"/>
        <v>0.96</v>
      </c>
      <c r="CN75" s="1008">
        <f t="shared" si="83"/>
        <v>28800000</v>
      </c>
      <c r="CO75" s="1008"/>
      <c r="CP75" s="1008"/>
      <c r="CQ75" s="1008"/>
      <c r="CR75" s="1008"/>
      <c r="CS75" s="1008"/>
      <c r="CT75" s="1008">
        <f>+'[17]SEPTIEMBRE 2015'!$H$3080</f>
        <v>20000000</v>
      </c>
      <c r="CU75" s="1008"/>
      <c r="CV75" s="1008"/>
      <c r="CW75" s="1008"/>
      <c r="CX75" s="1008"/>
      <c r="CY75" s="1008"/>
      <c r="CZ75" s="1008"/>
      <c r="DA75" s="1008"/>
      <c r="DB75" s="1008"/>
      <c r="DC75" s="1008">
        <f>+'[18]OCTUBRE 2015'!$H$3546</f>
        <v>8800000</v>
      </c>
      <c r="DD75" s="1008"/>
      <c r="DE75" s="1008"/>
      <c r="DF75" s="1008"/>
      <c r="DG75" s="1008"/>
      <c r="DH75" s="1008"/>
      <c r="DI75" s="1011">
        <f t="shared" si="84"/>
        <v>4.0000000000000036E-2</v>
      </c>
      <c r="DJ75" s="1008">
        <f t="shared" si="85"/>
        <v>1200000</v>
      </c>
      <c r="DK75" s="1008"/>
      <c r="DL75" s="1008"/>
      <c r="DM75" s="1008"/>
      <c r="DN75" s="1008">
        <f t="shared" si="86"/>
        <v>0</v>
      </c>
      <c r="DO75" s="1008"/>
      <c r="DP75" s="1008">
        <f t="shared" si="87"/>
        <v>0</v>
      </c>
      <c r="DQ75" s="1008">
        <f t="shared" si="87"/>
        <v>0</v>
      </c>
      <c r="DR75" s="1008"/>
      <c r="DS75" s="1008">
        <f t="shared" si="88"/>
        <v>0</v>
      </c>
      <c r="DT75" s="1008">
        <f t="shared" si="88"/>
        <v>0</v>
      </c>
      <c r="DU75" s="1008"/>
      <c r="DV75" s="1008">
        <f t="shared" si="89"/>
        <v>0</v>
      </c>
      <c r="DW75" s="1008">
        <f t="shared" si="89"/>
        <v>0</v>
      </c>
      <c r="DX75" s="1008">
        <f t="shared" si="89"/>
        <v>0</v>
      </c>
      <c r="DY75" s="1008">
        <f t="shared" si="90"/>
        <v>1200000</v>
      </c>
      <c r="DZ75" s="1008">
        <f t="shared" si="90"/>
        <v>0</v>
      </c>
      <c r="EA75" s="1008">
        <f t="shared" si="90"/>
        <v>0</v>
      </c>
      <c r="EB75" s="1008">
        <f t="shared" si="90"/>
        <v>0</v>
      </c>
      <c r="EC75" s="1008"/>
      <c r="ED75" s="1008">
        <f t="shared" si="91"/>
        <v>0</v>
      </c>
    </row>
    <row r="76" spans="1:134" ht="51" customHeight="1" x14ac:dyDescent="0.25">
      <c r="A76" s="1565"/>
      <c r="B76" s="1019"/>
      <c r="C76" s="1094" t="s">
        <v>4413</v>
      </c>
      <c r="D76" s="1019" t="s">
        <v>4349</v>
      </c>
      <c r="E76" s="1020">
        <v>520</v>
      </c>
      <c r="F76" s="1097" t="s">
        <v>3350</v>
      </c>
      <c r="G76" s="1401"/>
      <c r="H76" s="1061">
        <f t="shared" si="70"/>
        <v>12228000</v>
      </c>
      <c r="I76" s="1061">
        <f t="shared" si="71"/>
        <v>17772000</v>
      </c>
      <c r="J76" s="1401"/>
      <c r="K76" s="1284"/>
      <c r="L76" s="1284"/>
      <c r="M76" s="1093">
        <v>7</v>
      </c>
      <c r="N76" s="1093">
        <v>30</v>
      </c>
      <c r="O76" s="1093">
        <v>2</v>
      </c>
      <c r="P76" s="1093">
        <v>41</v>
      </c>
      <c r="Q76" s="1093">
        <v>100</v>
      </c>
      <c r="R76" s="1093">
        <v>41</v>
      </c>
      <c r="S76" s="1097"/>
      <c r="T76" s="1097"/>
      <c r="U76" s="1097"/>
      <c r="V76" s="1097"/>
      <c r="W76" s="1097"/>
      <c r="X76" s="1097"/>
      <c r="Y76" s="1008">
        <f t="shared" si="72"/>
        <v>30000000</v>
      </c>
      <c r="Z76" s="944"/>
      <c r="AA76" s="1008"/>
      <c r="AB76" s="1008"/>
      <c r="AC76" s="1008"/>
      <c r="AD76" s="1008"/>
      <c r="AE76" s="1008">
        <v>30000000</v>
      </c>
      <c r="AF76" s="1008"/>
      <c r="AG76" s="1008"/>
      <c r="AH76" s="1008"/>
      <c r="AI76" s="1008"/>
      <c r="AJ76" s="1008"/>
      <c r="AK76" s="1008"/>
      <c r="AL76" s="1008"/>
      <c r="AM76" s="1008"/>
      <c r="AN76" s="1008"/>
      <c r="AO76" s="1008"/>
      <c r="AP76" s="1008"/>
      <c r="AQ76" s="1008"/>
      <c r="AR76" s="1008"/>
      <c r="AS76" s="1008"/>
      <c r="AU76" s="1011">
        <f t="shared" si="73"/>
        <v>1</v>
      </c>
      <c r="AV76" s="1008">
        <f t="shared" si="74"/>
        <v>30000000</v>
      </c>
      <c r="AW76" s="1008"/>
      <c r="AX76" s="1008"/>
      <c r="AY76" s="1008"/>
      <c r="AZ76" s="1008"/>
      <c r="BA76" s="1008"/>
      <c r="BB76" s="1008">
        <f>+'[9]FEBRERO 2015'!$N$1070</f>
        <v>30000000</v>
      </c>
      <c r="BC76" s="1008"/>
      <c r="BD76" s="1008"/>
      <c r="BE76" s="1008"/>
      <c r="BF76" s="1008"/>
      <c r="BG76" s="1008"/>
      <c r="BH76" s="1008"/>
      <c r="BI76" s="1008"/>
      <c r="BJ76" s="1008"/>
      <c r="BK76" s="1008"/>
      <c r="BL76" s="1008"/>
      <c r="BM76" s="1008"/>
      <c r="BN76" s="1008"/>
      <c r="BO76" s="1008"/>
      <c r="BP76" s="1008"/>
      <c r="BQ76" s="1011">
        <f t="shared" si="25"/>
        <v>0</v>
      </c>
      <c r="BR76" s="1008">
        <f t="shared" si="75"/>
        <v>0</v>
      </c>
      <c r="BS76" s="1008">
        <f t="shared" si="76"/>
        <v>0</v>
      </c>
      <c r="BT76" s="1008">
        <f t="shared" si="77"/>
        <v>0</v>
      </c>
      <c r="BU76" s="1008"/>
      <c r="BV76" s="1008">
        <f t="shared" si="78"/>
        <v>0</v>
      </c>
      <c r="BW76" s="1008"/>
      <c r="BX76" s="1008">
        <f t="shared" si="79"/>
        <v>0</v>
      </c>
      <c r="BY76" s="1008">
        <f t="shared" si="79"/>
        <v>0</v>
      </c>
      <c r="BZ76" s="1008"/>
      <c r="CA76" s="1008">
        <f>AH76-BE76</f>
        <v>0</v>
      </c>
      <c r="CB76" s="1008">
        <f t="shared" si="80"/>
        <v>0</v>
      </c>
      <c r="CC76" s="1008">
        <f t="shared" si="80"/>
        <v>0</v>
      </c>
      <c r="CD76" s="1008">
        <f t="shared" si="80"/>
        <v>0</v>
      </c>
      <c r="CE76" s="1008">
        <f t="shared" si="80"/>
        <v>0</v>
      </c>
      <c r="CF76" s="1008">
        <f t="shared" si="80"/>
        <v>0</v>
      </c>
      <c r="CG76" s="1008">
        <f>AN76-BK76</f>
        <v>0</v>
      </c>
      <c r="CH76" s="1008">
        <f t="shared" si="80"/>
        <v>0</v>
      </c>
      <c r="CI76" s="1008">
        <f t="shared" si="80"/>
        <v>0</v>
      </c>
      <c r="CJ76" s="1008">
        <f>+AQ76-BN76</f>
        <v>0</v>
      </c>
      <c r="CK76" s="1008"/>
      <c r="CL76" s="1008">
        <f t="shared" si="81"/>
        <v>0</v>
      </c>
      <c r="CM76" s="1011">
        <f t="shared" si="82"/>
        <v>0.40760000000000002</v>
      </c>
      <c r="CN76" s="1008">
        <f t="shared" si="83"/>
        <v>12228000</v>
      </c>
      <c r="CO76" s="1008"/>
      <c r="CP76" s="1008"/>
      <c r="CQ76" s="1008"/>
      <c r="CR76" s="1008"/>
      <c r="CS76" s="1008"/>
      <c r="CT76" s="1008">
        <f>+'[14]JUNIO 2015'!$H$1939</f>
        <v>12228000</v>
      </c>
      <c r="CU76" s="1008"/>
      <c r="CV76" s="1008"/>
      <c r="CW76" s="1008"/>
      <c r="CX76" s="1008"/>
      <c r="CY76" s="1008"/>
      <c r="CZ76" s="1008"/>
      <c r="DA76" s="1008"/>
      <c r="DB76" s="1008"/>
      <c r="DC76" s="1008"/>
      <c r="DD76" s="1008"/>
      <c r="DE76" s="1008"/>
      <c r="DF76" s="1008"/>
      <c r="DG76" s="1008"/>
      <c r="DH76" s="1008"/>
      <c r="DI76" s="1011">
        <f t="shared" si="84"/>
        <v>0.59240000000000004</v>
      </c>
      <c r="DJ76" s="1008">
        <f t="shared" si="85"/>
        <v>17772000</v>
      </c>
      <c r="DK76" s="1008"/>
      <c r="DL76" s="1008"/>
      <c r="DM76" s="1008"/>
      <c r="DN76" s="1008">
        <f t="shared" si="86"/>
        <v>0</v>
      </c>
      <c r="DO76" s="1008"/>
      <c r="DP76" s="1008">
        <f t="shared" si="87"/>
        <v>17772000</v>
      </c>
      <c r="DQ76" s="1008">
        <f t="shared" si="87"/>
        <v>0</v>
      </c>
      <c r="DR76" s="1008"/>
      <c r="DS76" s="1008">
        <f t="shared" si="88"/>
        <v>0</v>
      </c>
      <c r="DT76" s="1008">
        <f t="shared" si="88"/>
        <v>0</v>
      </c>
      <c r="DU76" s="1008"/>
      <c r="DV76" s="1008">
        <f t="shared" si="89"/>
        <v>0</v>
      </c>
      <c r="DW76" s="1008">
        <f t="shared" si="89"/>
        <v>0</v>
      </c>
      <c r="DX76" s="1008">
        <f t="shared" si="89"/>
        <v>0</v>
      </c>
      <c r="DY76" s="1008">
        <f t="shared" si="90"/>
        <v>0</v>
      </c>
      <c r="DZ76" s="1008">
        <f t="shared" si="90"/>
        <v>0</v>
      </c>
      <c r="EA76" s="1008">
        <f t="shared" si="90"/>
        <v>0</v>
      </c>
      <c r="EB76" s="1008">
        <f t="shared" si="90"/>
        <v>0</v>
      </c>
      <c r="EC76" s="1008"/>
      <c r="ED76" s="1008">
        <f t="shared" si="91"/>
        <v>0</v>
      </c>
    </row>
    <row r="77" spans="1:134" ht="30" customHeight="1" x14ac:dyDescent="0.25">
      <c r="A77" s="1565"/>
      <c r="B77" s="1019" t="s">
        <v>4350</v>
      </c>
      <c r="C77" s="1094" t="s">
        <v>4414</v>
      </c>
      <c r="D77" s="1019" t="s">
        <v>4351</v>
      </c>
      <c r="E77" s="1020">
        <v>520</v>
      </c>
      <c r="F77" s="1097" t="s">
        <v>4736</v>
      </c>
      <c r="G77" s="1399">
        <v>1710000000</v>
      </c>
      <c r="H77" s="1061">
        <f t="shared" si="70"/>
        <v>0</v>
      </c>
      <c r="I77" s="1061">
        <f t="shared" si="71"/>
        <v>2898900</v>
      </c>
      <c r="J77" s="1399" t="s">
        <v>4864</v>
      </c>
      <c r="K77" s="1283" t="s">
        <v>4870</v>
      </c>
      <c r="L77" s="1283" t="s">
        <v>4877</v>
      </c>
      <c r="M77" s="1093">
        <v>0</v>
      </c>
      <c r="N77" s="1093">
        <v>0</v>
      </c>
      <c r="O77" s="1093">
        <v>0</v>
      </c>
      <c r="P77" s="1093">
        <v>0</v>
      </c>
      <c r="Q77" s="1093">
        <v>0</v>
      </c>
      <c r="R77" s="1093">
        <v>0</v>
      </c>
      <c r="S77" s="1097"/>
      <c r="T77" s="1097"/>
      <c r="U77" s="1097"/>
      <c r="V77" s="1097"/>
      <c r="W77" s="1097"/>
      <c r="X77" s="1097"/>
      <c r="Y77" s="1008">
        <f t="shared" si="72"/>
        <v>2898900</v>
      </c>
      <c r="Z77" s="944"/>
      <c r="AA77" s="944"/>
      <c r="AB77" s="944"/>
      <c r="AC77" s="944"/>
      <c r="AD77" s="944"/>
      <c r="AE77" s="944"/>
      <c r="AF77" s="1008"/>
      <c r="AG77" s="1008"/>
      <c r="AH77" s="1008"/>
      <c r="AI77" s="1008"/>
      <c r="AJ77" s="1008"/>
      <c r="AK77" s="1008"/>
      <c r="AL77" s="1008"/>
      <c r="AM77" s="1008"/>
      <c r="AN77" s="1008"/>
      <c r="AO77" s="1008"/>
      <c r="AP77" s="1008"/>
      <c r="AQ77" s="1008"/>
      <c r="AR77" s="1008"/>
      <c r="AS77" s="1008">
        <f>2500000+398900</f>
        <v>2898900</v>
      </c>
      <c r="AU77" s="1011">
        <f t="shared" si="73"/>
        <v>1</v>
      </c>
      <c r="AV77" s="1008">
        <f t="shared" si="74"/>
        <v>2898900</v>
      </c>
      <c r="AW77" s="1008"/>
      <c r="AX77" s="1008"/>
      <c r="AY77" s="1008"/>
      <c r="AZ77" s="1008"/>
      <c r="BA77" s="1008"/>
      <c r="BB77" s="1008"/>
      <c r="BC77" s="1008"/>
      <c r="BD77" s="1008"/>
      <c r="BE77" s="1008"/>
      <c r="BF77" s="1008"/>
      <c r="BG77" s="1008"/>
      <c r="BH77" s="1008"/>
      <c r="BI77" s="1008"/>
      <c r="BJ77" s="1008"/>
      <c r="BK77" s="1008"/>
      <c r="BL77" s="1008"/>
      <c r="BM77" s="1008"/>
      <c r="BN77" s="1008"/>
      <c r="BO77" s="1008"/>
      <c r="BP77" s="1008">
        <f>+'[15]JULIO 2015'!$AD$2291</f>
        <v>2898900</v>
      </c>
      <c r="BQ77" s="1011">
        <f t="shared" si="25"/>
        <v>0</v>
      </c>
      <c r="BR77" s="1008">
        <f t="shared" si="75"/>
        <v>0</v>
      </c>
      <c r="BS77" s="1008">
        <f t="shared" si="76"/>
        <v>0</v>
      </c>
      <c r="BT77" s="1008">
        <f t="shared" si="77"/>
        <v>0</v>
      </c>
      <c r="BU77" s="1008"/>
      <c r="BV77" s="1008">
        <f t="shared" si="78"/>
        <v>0</v>
      </c>
      <c r="BW77" s="1008"/>
      <c r="BX77" s="1008">
        <f t="shared" si="79"/>
        <v>0</v>
      </c>
      <c r="BY77" s="1008">
        <f t="shared" si="79"/>
        <v>0</v>
      </c>
      <c r="BZ77" s="1008"/>
      <c r="CA77" s="1008">
        <f>AH77-BE77</f>
        <v>0</v>
      </c>
      <c r="CB77" s="1008">
        <f t="shared" si="80"/>
        <v>0</v>
      </c>
      <c r="CC77" s="1008">
        <f t="shared" si="80"/>
        <v>0</v>
      </c>
      <c r="CD77" s="1008">
        <f t="shared" si="80"/>
        <v>0</v>
      </c>
      <c r="CE77" s="1008">
        <f t="shared" si="80"/>
        <v>0</v>
      </c>
      <c r="CF77" s="1008">
        <f t="shared" si="80"/>
        <v>0</v>
      </c>
      <c r="CG77" s="1008">
        <f>AN77-BK77</f>
        <v>0</v>
      </c>
      <c r="CH77" s="1008">
        <f t="shared" si="80"/>
        <v>0</v>
      </c>
      <c r="CI77" s="1008">
        <f t="shared" si="80"/>
        <v>0</v>
      </c>
      <c r="CJ77" s="1008"/>
      <c r="CK77" s="1008"/>
      <c r="CL77" s="1008">
        <f t="shared" si="81"/>
        <v>0</v>
      </c>
      <c r="CM77" s="1011">
        <f t="shared" si="82"/>
        <v>0</v>
      </c>
      <c r="CN77" s="1008">
        <f t="shared" si="83"/>
        <v>0</v>
      </c>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11">
        <f t="shared" si="84"/>
        <v>1</v>
      </c>
      <c r="DJ77" s="1008">
        <f t="shared" si="85"/>
        <v>2898900</v>
      </c>
      <c r="DK77" s="1008"/>
      <c r="DL77" s="1008"/>
      <c r="DM77" s="1008"/>
      <c r="DN77" s="1008">
        <f t="shared" si="86"/>
        <v>0</v>
      </c>
      <c r="DO77" s="1008"/>
      <c r="DP77" s="1008">
        <f t="shared" si="87"/>
        <v>0</v>
      </c>
      <c r="DQ77" s="1008">
        <f t="shared" si="87"/>
        <v>0</v>
      </c>
      <c r="DR77" s="1008"/>
      <c r="DS77" s="1008">
        <f t="shared" si="88"/>
        <v>0</v>
      </c>
      <c r="DT77" s="1008">
        <f t="shared" si="88"/>
        <v>0</v>
      </c>
      <c r="DU77" s="1008"/>
      <c r="DV77" s="1008">
        <f t="shared" si="89"/>
        <v>0</v>
      </c>
      <c r="DW77" s="1008">
        <f t="shared" si="89"/>
        <v>0</v>
      </c>
      <c r="DX77" s="1008">
        <f t="shared" si="89"/>
        <v>0</v>
      </c>
      <c r="DY77" s="1008">
        <f t="shared" si="90"/>
        <v>0</v>
      </c>
      <c r="DZ77" s="1008">
        <f t="shared" si="90"/>
        <v>0</v>
      </c>
      <c r="EA77" s="1008">
        <f t="shared" si="90"/>
        <v>0</v>
      </c>
      <c r="EB77" s="1008">
        <f t="shared" si="90"/>
        <v>0</v>
      </c>
      <c r="EC77" s="1008"/>
      <c r="ED77" s="1008">
        <f t="shared" si="91"/>
        <v>2898900</v>
      </c>
    </row>
    <row r="78" spans="1:134" ht="24.75" customHeight="1" x14ac:dyDescent="0.25">
      <c r="A78" s="1565"/>
      <c r="B78" s="1019"/>
      <c r="C78" s="1094" t="s">
        <v>4415</v>
      </c>
      <c r="D78" s="1019" t="s">
        <v>4651</v>
      </c>
      <c r="E78" s="1020">
        <v>520</v>
      </c>
      <c r="F78" s="1097" t="s">
        <v>4319</v>
      </c>
      <c r="G78" s="1400"/>
      <c r="H78" s="1061">
        <f t="shared" si="70"/>
        <v>273724134</v>
      </c>
      <c r="I78" s="1061">
        <f t="shared" si="71"/>
        <v>1275866</v>
      </c>
      <c r="J78" s="1401"/>
      <c r="K78" s="1284"/>
      <c r="L78" s="1284"/>
      <c r="M78" s="1093">
        <v>11</v>
      </c>
      <c r="N78" s="1093">
        <v>140</v>
      </c>
      <c r="O78" s="1093">
        <v>15</v>
      </c>
      <c r="P78" s="1093">
        <v>72</v>
      </c>
      <c r="Q78" s="1093">
        <v>160</v>
      </c>
      <c r="R78" s="1093">
        <v>116</v>
      </c>
      <c r="S78" s="1097"/>
      <c r="T78" s="1097"/>
      <c r="U78" s="1097"/>
      <c r="V78" s="1097"/>
      <c r="W78" s="1097"/>
      <c r="X78" s="1097"/>
      <c r="Y78" s="1008">
        <f t="shared" si="72"/>
        <v>275000000</v>
      </c>
      <c r="Z78" s="944"/>
      <c r="AA78" s="1017">
        <f>300000000-300000000</f>
        <v>0</v>
      </c>
      <c r="AB78" s="1017"/>
      <c r="AC78" s="944"/>
      <c r="AD78" s="944"/>
      <c r="AE78" s="944"/>
      <c r="AF78" s="1008">
        <f>300000000-25000000</f>
        <v>275000000</v>
      </c>
      <c r="AG78" s="1008"/>
      <c r="AH78" s="1008"/>
      <c r="AI78" s="1008"/>
      <c r="AJ78" s="1008"/>
      <c r="AK78" s="1008"/>
      <c r="AL78" s="1008"/>
      <c r="AM78" s="1008"/>
      <c r="AN78" s="1008"/>
      <c r="AO78" s="1008"/>
      <c r="AP78" s="1008"/>
      <c r="AQ78" s="1008"/>
      <c r="AR78" s="1008"/>
      <c r="AS78" s="1008"/>
      <c r="AU78" s="1011">
        <f t="shared" si="73"/>
        <v>1</v>
      </c>
      <c r="AV78" s="1008">
        <f t="shared" si="74"/>
        <v>275000000</v>
      </c>
      <c r="AW78" s="1008"/>
      <c r="AX78" s="1008"/>
      <c r="AY78" s="1008"/>
      <c r="AZ78" s="1008"/>
      <c r="BA78" s="1008"/>
      <c r="BB78" s="1008"/>
      <c r="BC78" s="1008">
        <f>+'[8]FEBRERO 2015'!$O$1154-25000000</f>
        <v>275000000</v>
      </c>
      <c r="BD78" s="1008"/>
      <c r="BE78" s="1008"/>
      <c r="BF78" s="1008"/>
      <c r="BG78" s="1008"/>
      <c r="BH78" s="1008"/>
      <c r="BI78" s="1008"/>
      <c r="BJ78" s="1008"/>
      <c r="BK78" s="1008"/>
      <c r="BL78" s="1008"/>
      <c r="BM78" s="1008"/>
      <c r="BN78" s="1008"/>
      <c r="BO78" s="1008"/>
      <c r="BP78" s="1008"/>
      <c r="BQ78" s="1011">
        <f t="shared" si="25"/>
        <v>0</v>
      </c>
      <c r="BR78" s="1008">
        <f t="shared" si="75"/>
        <v>0</v>
      </c>
      <c r="BS78" s="1008">
        <f t="shared" si="76"/>
        <v>0</v>
      </c>
      <c r="BT78" s="1008">
        <f t="shared" si="77"/>
        <v>0</v>
      </c>
      <c r="BU78" s="1008"/>
      <c r="BV78" s="1008">
        <f t="shared" si="78"/>
        <v>0</v>
      </c>
      <c r="BW78" s="1008"/>
      <c r="BX78" s="1008">
        <f t="shared" si="79"/>
        <v>0</v>
      </c>
      <c r="BY78" s="1008">
        <f t="shared" si="79"/>
        <v>0</v>
      </c>
      <c r="BZ78" s="1008"/>
      <c r="CA78" s="1008">
        <f>AH78-BE78</f>
        <v>0</v>
      </c>
      <c r="CB78" s="1008">
        <f t="shared" si="80"/>
        <v>0</v>
      </c>
      <c r="CC78" s="1008">
        <f t="shared" si="80"/>
        <v>0</v>
      </c>
      <c r="CD78" s="1008">
        <f t="shared" si="80"/>
        <v>0</v>
      </c>
      <c r="CE78" s="1008">
        <f t="shared" si="80"/>
        <v>0</v>
      </c>
      <c r="CF78" s="1008">
        <f t="shared" si="80"/>
        <v>0</v>
      </c>
      <c r="CG78" s="1008">
        <f>AN78-BK78</f>
        <v>0</v>
      </c>
      <c r="CH78" s="1008">
        <f t="shared" si="80"/>
        <v>0</v>
      </c>
      <c r="CI78" s="1008">
        <f t="shared" si="80"/>
        <v>0</v>
      </c>
      <c r="CJ78" s="1008"/>
      <c r="CK78" s="1008"/>
      <c r="CL78" s="1008">
        <f t="shared" si="81"/>
        <v>0</v>
      </c>
      <c r="CM78" s="1011">
        <f t="shared" si="82"/>
        <v>0.9953604872727273</v>
      </c>
      <c r="CN78" s="1008">
        <f t="shared" si="83"/>
        <v>273724134</v>
      </c>
      <c r="CO78" s="1008"/>
      <c r="CP78" s="1008"/>
      <c r="CQ78" s="1008"/>
      <c r="CR78" s="1008"/>
      <c r="CS78" s="1008"/>
      <c r="CT78" s="1008"/>
      <c r="CU78" s="1008">
        <f>+'[18]OCTUBRE 2015'!$H$3574</f>
        <v>273724134</v>
      </c>
      <c r="CV78" s="1008"/>
      <c r="CW78" s="1008"/>
      <c r="CX78" s="1008"/>
      <c r="CY78" s="1008"/>
      <c r="CZ78" s="1008"/>
      <c r="DA78" s="1008"/>
      <c r="DB78" s="1008"/>
      <c r="DC78" s="1008"/>
      <c r="DD78" s="1008"/>
      <c r="DE78" s="1008"/>
      <c r="DF78" s="1008"/>
      <c r="DG78" s="1008"/>
      <c r="DH78" s="1008"/>
      <c r="DI78" s="1011">
        <f t="shared" si="84"/>
        <v>4.6395127272726988E-3</v>
      </c>
      <c r="DJ78" s="1008">
        <f t="shared" si="85"/>
        <v>1275866</v>
      </c>
      <c r="DK78" s="1008"/>
      <c r="DL78" s="1008">
        <f>AA78-CP78</f>
        <v>0</v>
      </c>
      <c r="DM78" s="1008">
        <f>AB78-CQ78</f>
        <v>0</v>
      </c>
      <c r="DN78" s="1008">
        <f t="shared" si="86"/>
        <v>0</v>
      </c>
      <c r="DO78" s="1008"/>
      <c r="DP78" s="1008">
        <f t="shared" si="87"/>
        <v>0</v>
      </c>
      <c r="DQ78" s="1008">
        <f t="shared" si="87"/>
        <v>1275866</v>
      </c>
      <c r="DR78" s="1008"/>
      <c r="DS78" s="1008">
        <f t="shared" si="88"/>
        <v>0</v>
      </c>
      <c r="DT78" s="1008">
        <f t="shared" si="88"/>
        <v>0</v>
      </c>
      <c r="DU78" s="1008"/>
      <c r="DV78" s="1008">
        <f t="shared" si="89"/>
        <v>0</v>
      </c>
      <c r="DW78" s="1008">
        <f t="shared" si="89"/>
        <v>0</v>
      </c>
      <c r="DX78" s="1008">
        <f t="shared" si="89"/>
        <v>0</v>
      </c>
      <c r="DY78" s="1008">
        <f t="shared" si="90"/>
        <v>0</v>
      </c>
      <c r="DZ78" s="1008">
        <f t="shared" si="90"/>
        <v>0</v>
      </c>
      <c r="EA78" s="1008">
        <f t="shared" si="90"/>
        <v>0</v>
      </c>
      <c r="EB78" s="1008">
        <f t="shared" si="90"/>
        <v>0</v>
      </c>
      <c r="EC78" s="1008"/>
      <c r="ED78" s="1008">
        <f t="shared" si="91"/>
        <v>0</v>
      </c>
    </row>
    <row r="79" spans="1:134" ht="46.5" customHeight="1" x14ac:dyDescent="0.25">
      <c r="A79" s="1565"/>
      <c r="B79" s="1019"/>
      <c r="C79" s="1094" t="s">
        <v>4416</v>
      </c>
      <c r="D79" s="1019" t="s">
        <v>4352</v>
      </c>
      <c r="E79" s="1020">
        <v>520</v>
      </c>
      <c r="F79" s="1097" t="s">
        <v>4347</v>
      </c>
      <c r="G79" s="1400"/>
      <c r="H79" s="1061">
        <f t="shared" si="70"/>
        <v>770398</v>
      </c>
      <c r="I79" s="1061">
        <f t="shared" si="71"/>
        <v>13396003</v>
      </c>
      <c r="J79" s="1097" t="s">
        <v>4865</v>
      </c>
      <c r="K79" s="1093" t="s">
        <v>4871</v>
      </c>
      <c r="L79" s="1093" t="s">
        <v>4878</v>
      </c>
      <c r="M79" s="1093">
        <v>10</v>
      </c>
      <c r="N79" s="1093">
        <v>0</v>
      </c>
      <c r="O79" s="1093">
        <v>0</v>
      </c>
      <c r="P79" s="1093">
        <v>5</v>
      </c>
      <c r="Q79" s="1093">
        <v>0</v>
      </c>
      <c r="R79" s="1093">
        <v>0</v>
      </c>
      <c r="S79" s="1097"/>
      <c r="T79" s="1097"/>
      <c r="U79" s="1097"/>
      <c r="V79" s="1097"/>
      <c r="W79" s="1097"/>
      <c r="X79" s="1097"/>
      <c r="Y79" s="1008">
        <f t="shared" si="72"/>
        <v>14166401</v>
      </c>
      <c r="Z79" s="944"/>
      <c r="AA79" s="944"/>
      <c r="AB79" s="944"/>
      <c r="AC79" s="944"/>
      <c r="AD79" s="944"/>
      <c r="AE79" s="944"/>
      <c r="AF79" s="1008"/>
      <c r="AG79" s="1008"/>
      <c r="AH79" s="1008"/>
      <c r="AI79" s="1008"/>
      <c r="AJ79" s="1008"/>
      <c r="AK79" s="1008"/>
      <c r="AL79" s="1008"/>
      <c r="AM79" s="1008"/>
      <c r="AN79" s="1008"/>
      <c r="AO79" s="1008"/>
      <c r="AP79" s="1008"/>
      <c r="AQ79" s="1008"/>
      <c r="AR79" s="1008"/>
      <c r="AS79" s="1008">
        <f>5000000+3000000+6166401</f>
        <v>14166401</v>
      </c>
      <c r="AU79" s="1011">
        <f t="shared" si="73"/>
        <v>0.3529477952798315</v>
      </c>
      <c r="AV79" s="1008">
        <f t="shared" si="74"/>
        <v>5000000</v>
      </c>
      <c r="AW79" s="1008"/>
      <c r="AX79" s="1008"/>
      <c r="AY79" s="1008"/>
      <c r="AZ79" s="1008"/>
      <c r="BA79" s="1008"/>
      <c r="BB79" s="1008"/>
      <c r="BC79" s="1008"/>
      <c r="BD79" s="1008"/>
      <c r="BE79" s="1008"/>
      <c r="BF79" s="1008"/>
      <c r="BG79" s="1008"/>
      <c r="BH79" s="1008"/>
      <c r="BI79" s="1008"/>
      <c r="BJ79" s="1008"/>
      <c r="BK79" s="1008"/>
      <c r="BL79" s="1008"/>
      <c r="BM79" s="1008"/>
      <c r="BN79" s="1008"/>
      <c r="BO79" s="1008"/>
      <c r="BP79" s="1008">
        <f>+'[9]FEBRERO 2015'!$AC$1088</f>
        <v>5000000</v>
      </c>
      <c r="BQ79" s="1011">
        <f t="shared" si="25"/>
        <v>0.64705220472016856</v>
      </c>
      <c r="BR79" s="1008">
        <f t="shared" si="75"/>
        <v>9166401</v>
      </c>
      <c r="BS79" s="1008">
        <f t="shared" si="76"/>
        <v>0</v>
      </c>
      <c r="BT79" s="1008">
        <f t="shared" si="77"/>
        <v>0</v>
      </c>
      <c r="BU79" s="1008"/>
      <c r="BV79" s="1008">
        <f t="shared" si="78"/>
        <v>0</v>
      </c>
      <c r="BW79" s="1008"/>
      <c r="BX79" s="1008">
        <f t="shared" si="79"/>
        <v>0</v>
      </c>
      <c r="BY79" s="1008">
        <f t="shared" si="79"/>
        <v>0</v>
      </c>
      <c r="BZ79" s="1008"/>
      <c r="CA79" s="1008">
        <f>AH79-BE79</f>
        <v>0</v>
      </c>
      <c r="CB79" s="1008">
        <f t="shared" si="80"/>
        <v>0</v>
      </c>
      <c r="CC79" s="1008">
        <f t="shared" si="80"/>
        <v>0</v>
      </c>
      <c r="CD79" s="1008">
        <f t="shared" si="80"/>
        <v>0</v>
      </c>
      <c r="CE79" s="1008">
        <f t="shared" si="80"/>
        <v>0</v>
      </c>
      <c r="CF79" s="1008">
        <f t="shared" si="80"/>
        <v>0</v>
      </c>
      <c r="CG79" s="1008">
        <f>AN79-BK79</f>
        <v>0</v>
      </c>
      <c r="CH79" s="1008">
        <f t="shared" si="80"/>
        <v>0</v>
      </c>
      <c r="CI79" s="1008">
        <f t="shared" si="80"/>
        <v>0</v>
      </c>
      <c r="CJ79" s="1008"/>
      <c r="CK79" s="1008"/>
      <c r="CL79" s="1008">
        <f t="shared" si="81"/>
        <v>9166401</v>
      </c>
      <c r="CM79" s="1011">
        <f t="shared" si="82"/>
        <v>5.4382055117598325E-2</v>
      </c>
      <c r="CN79" s="1008">
        <f t="shared" si="83"/>
        <v>770398</v>
      </c>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f>+'[9]FEBRERO 2015'!$H$1086</f>
        <v>770398</v>
      </c>
      <c r="DI79" s="1011">
        <f t="shared" si="84"/>
        <v>0.9456179448824017</v>
      </c>
      <c r="DJ79" s="1008">
        <f t="shared" si="85"/>
        <v>13396003</v>
      </c>
      <c r="DK79" s="1008"/>
      <c r="DL79" s="1008"/>
      <c r="DM79" s="1008"/>
      <c r="DN79" s="1008">
        <f t="shared" si="86"/>
        <v>0</v>
      </c>
      <c r="DO79" s="1008"/>
      <c r="DP79" s="1008">
        <f t="shared" si="87"/>
        <v>0</v>
      </c>
      <c r="DQ79" s="1008">
        <f t="shared" si="87"/>
        <v>0</v>
      </c>
      <c r="DR79" s="1008"/>
      <c r="DS79" s="1008">
        <f t="shared" si="88"/>
        <v>0</v>
      </c>
      <c r="DT79" s="1008">
        <f t="shared" si="88"/>
        <v>0</v>
      </c>
      <c r="DU79" s="1008"/>
      <c r="DV79" s="1008">
        <f t="shared" si="89"/>
        <v>0</v>
      </c>
      <c r="DW79" s="1008">
        <f t="shared" si="89"/>
        <v>0</v>
      </c>
      <c r="DX79" s="1008">
        <f t="shared" si="89"/>
        <v>0</v>
      </c>
      <c r="DY79" s="1008">
        <f t="shared" si="90"/>
        <v>0</v>
      </c>
      <c r="DZ79" s="1008">
        <f t="shared" si="90"/>
        <v>0</v>
      </c>
      <c r="EA79" s="1008">
        <f t="shared" si="90"/>
        <v>0</v>
      </c>
      <c r="EB79" s="1008">
        <f t="shared" si="90"/>
        <v>0</v>
      </c>
      <c r="EC79" s="1008"/>
      <c r="ED79" s="1008">
        <f t="shared" si="91"/>
        <v>13396003</v>
      </c>
    </row>
    <row r="80" spans="1:134" ht="37.5" customHeight="1" x14ac:dyDescent="0.25">
      <c r="A80" s="1565"/>
      <c r="B80" s="1019"/>
      <c r="C80" s="1094" t="s">
        <v>4417</v>
      </c>
      <c r="D80" s="1019" t="s">
        <v>4355</v>
      </c>
      <c r="E80" s="1020">
        <v>520</v>
      </c>
      <c r="F80" s="1097" t="s">
        <v>4670</v>
      </c>
      <c r="G80" s="1400"/>
      <c r="H80" s="1061">
        <f t="shared" si="70"/>
        <v>4550000</v>
      </c>
      <c r="I80" s="1061">
        <f t="shared" si="71"/>
        <v>0</v>
      </c>
      <c r="J80" s="1097" t="s">
        <v>4866</v>
      </c>
      <c r="K80" s="1093" t="s">
        <v>4872</v>
      </c>
      <c r="L80" s="1093" t="s">
        <v>4879</v>
      </c>
      <c r="M80" s="1093">
        <v>0</v>
      </c>
      <c r="N80" s="1093">
        <v>0</v>
      </c>
      <c r="O80" s="1093">
        <v>0</v>
      </c>
      <c r="P80" s="1093">
        <v>46</v>
      </c>
      <c r="Q80" s="1093">
        <v>50</v>
      </c>
      <c r="R80" s="1093">
        <v>23</v>
      </c>
      <c r="S80" s="1097"/>
      <c r="T80" s="1097"/>
      <c r="U80" s="1097"/>
      <c r="V80" s="1097"/>
      <c r="W80" s="1097"/>
      <c r="X80" s="1097"/>
      <c r="Y80" s="1008">
        <f t="shared" si="72"/>
        <v>4550000</v>
      </c>
      <c r="Z80" s="944"/>
      <c r="AA80" s="944"/>
      <c r="AB80" s="944"/>
      <c r="AC80" s="944"/>
      <c r="AD80" s="944"/>
      <c r="AE80" s="944"/>
      <c r="AF80" s="1008"/>
      <c r="AG80" s="1008"/>
      <c r="AH80" s="1008"/>
      <c r="AI80" s="1008"/>
      <c r="AJ80" s="1008"/>
      <c r="AK80" s="1008"/>
      <c r="AL80" s="1008"/>
      <c r="AM80" s="1008"/>
      <c r="AN80" s="1008"/>
      <c r="AO80" s="1008"/>
      <c r="AP80" s="1008"/>
      <c r="AQ80" s="1008"/>
      <c r="AR80" s="1008"/>
      <c r="AS80" s="1008">
        <f>5000000+5000000-5450000</f>
        <v>4550000</v>
      </c>
      <c r="AU80" s="1011">
        <f t="shared" si="73"/>
        <v>1</v>
      </c>
      <c r="AV80" s="1008">
        <f t="shared" si="74"/>
        <v>4550000</v>
      </c>
      <c r="AW80" s="1008"/>
      <c r="AX80" s="1008"/>
      <c r="AY80" s="1008"/>
      <c r="AZ80" s="1008"/>
      <c r="BA80" s="1008"/>
      <c r="BB80" s="1008"/>
      <c r="BC80" s="1008"/>
      <c r="BD80" s="1008"/>
      <c r="BE80" s="1008"/>
      <c r="BF80" s="1008"/>
      <c r="BG80" s="1008"/>
      <c r="BH80" s="1008"/>
      <c r="BI80" s="1008"/>
      <c r="BJ80" s="1008"/>
      <c r="BK80" s="1008"/>
      <c r="BL80" s="1008"/>
      <c r="BM80" s="1008"/>
      <c r="BN80" s="1008"/>
      <c r="BO80" s="1008"/>
      <c r="BP80" s="1008">
        <f>+'[16]AGOSTO 2015'!$AD$2654</f>
        <v>4550000</v>
      </c>
      <c r="BQ80" s="1011">
        <f t="shared" si="25"/>
        <v>0</v>
      </c>
      <c r="BR80" s="1008">
        <f t="shared" si="75"/>
        <v>0</v>
      </c>
      <c r="BS80" s="1008">
        <f t="shared" si="76"/>
        <v>0</v>
      </c>
      <c r="BT80" s="1008">
        <f t="shared" si="77"/>
        <v>0</v>
      </c>
      <c r="BU80" s="1008"/>
      <c r="BV80" s="1008">
        <f t="shared" si="78"/>
        <v>0</v>
      </c>
      <c r="BW80" s="1008"/>
      <c r="BX80" s="1008">
        <f t="shared" si="79"/>
        <v>0</v>
      </c>
      <c r="BY80" s="1008">
        <f t="shared" si="79"/>
        <v>0</v>
      </c>
      <c r="BZ80" s="1008"/>
      <c r="CA80" s="1008">
        <f>AH80-BE80</f>
        <v>0</v>
      </c>
      <c r="CB80" s="1008">
        <f t="shared" si="80"/>
        <v>0</v>
      </c>
      <c r="CC80" s="1008"/>
      <c r="CD80" s="1008">
        <f t="shared" si="80"/>
        <v>0</v>
      </c>
      <c r="CE80" s="1008">
        <f t="shared" si="80"/>
        <v>0</v>
      </c>
      <c r="CF80" s="1008">
        <f t="shared" si="80"/>
        <v>0</v>
      </c>
      <c r="CG80" s="1008">
        <f>AN80-BK80</f>
        <v>0</v>
      </c>
      <c r="CH80" s="1008">
        <f t="shared" si="80"/>
        <v>0</v>
      </c>
      <c r="CI80" s="1008">
        <f t="shared" si="80"/>
        <v>0</v>
      </c>
      <c r="CJ80" s="1008"/>
      <c r="CK80" s="1008"/>
      <c r="CL80" s="1008">
        <f t="shared" si="81"/>
        <v>0</v>
      </c>
      <c r="CM80" s="1011">
        <f t="shared" si="82"/>
        <v>1</v>
      </c>
      <c r="CN80" s="1008">
        <f t="shared" si="83"/>
        <v>4550000</v>
      </c>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f>+'[14]JUNIO 2015'!$H$2022</f>
        <v>4550000</v>
      </c>
      <c r="DI80" s="1011">
        <f t="shared" si="84"/>
        <v>0</v>
      </c>
      <c r="DJ80" s="1008">
        <f t="shared" si="85"/>
        <v>0</v>
      </c>
      <c r="DK80" s="1008"/>
      <c r="DL80" s="1008"/>
      <c r="DM80" s="1008"/>
      <c r="DN80" s="1008">
        <f t="shared" si="86"/>
        <v>0</v>
      </c>
      <c r="DO80" s="1008"/>
      <c r="DP80" s="1008">
        <f t="shared" si="87"/>
        <v>0</v>
      </c>
      <c r="DQ80" s="1008">
        <f t="shared" si="87"/>
        <v>0</v>
      </c>
      <c r="DR80" s="1008"/>
      <c r="DS80" s="1008">
        <f t="shared" si="88"/>
        <v>0</v>
      </c>
      <c r="DT80" s="1008">
        <f t="shared" si="88"/>
        <v>0</v>
      </c>
      <c r="DU80" s="1008"/>
      <c r="DV80" s="1008">
        <f t="shared" si="89"/>
        <v>0</v>
      </c>
      <c r="DW80" s="1008">
        <f t="shared" si="89"/>
        <v>0</v>
      </c>
      <c r="DX80" s="1008">
        <f t="shared" si="89"/>
        <v>0</v>
      </c>
      <c r="DY80" s="1008">
        <f t="shared" si="90"/>
        <v>0</v>
      </c>
      <c r="DZ80" s="1008">
        <f t="shared" si="90"/>
        <v>0</v>
      </c>
      <c r="EA80" s="1008">
        <f t="shared" si="90"/>
        <v>0</v>
      </c>
      <c r="EB80" s="1008">
        <f t="shared" si="90"/>
        <v>0</v>
      </c>
      <c r="EC80" s="1008"/>
      <c r="ED80" s="1008">
        <f t="shared" si="91"/>
        <v>0</v>
      </c>
    </row>
    <row r="81" spans="1:134" ht="33" customHeight="1" x14ac:dyDescent="0.25">
      <c r="A81" s="1565"/>
      <c r="B81" s="1019"/>
      <c r="C81" s="1094" t="s">
        <v>4418</v>
      </c>
      <c r="D81" s="1019" t="s">
        <v>4353</v>
      </c>
      <c r="E81" s="1020">
        <v>520</v>
      </c>
      <c r="F81" s="1097" t="s">
        <v>3350</v>
      </c>
      <c r="G81" s="1400"/>
      <c r="H81" s="1061">
        <f t="shared" si="70"/>
        <v>268064229</v>
      </c>
      <c r="I81" s="1061">
        <f t="shared" si="71"/>
        <v>81935771</v>
      </c>
      <c r="J81" s="1270" t="s">
        <v>4867</v>
      </c>
      <c r="K81" s="1305" t="s">
        <v>4873</v>
      </c>
      <c r="L81" s="1283" t="s">
        <v>4800</v>
      </c>
      <c r="M81" s="1093">
        <v>16</v>
      </c>
      <c r="N81" s="1093">
        <v>67</v>
      </c>
      <c r="O81" s="1093">
        <v>11</v>
      </c>
      <c r="P81" s="1093">
        <v>42</v>
      </c>
      <c r="Q81" s="1093">
        <v>67</v>
      </c>
      <c r="R81" s="1093">
        <v>28</v>
      </c>
      <c r="S81" s="1097"/>
      <c r="T81" s="1097"/>
      <c r="U81" s="1097"/>
      <c r="V81" s="1097"/>
      <c r="W81" s="1097"/>
      <c r="X81" s="1097"/>
      <c r="Y81" s="1008">
        <f t="shared" si="72"/>
        <v>350000000</v>
      </c>
      <c r="Z81" s="944"/>
      <c r="AA81" s="944"/>
      <c r="AB81" s="944"/>
      <c r="AC81" s="944"/>
      <c r="AD81" s="944"/>
      <c r="AE81" s="944"/>
      <c r="AF81" s="1008">
        <f>400000000-30000000-20000000</f>
        <v>350000000</v>
      </c>
      <c r="AG81" s="1008"/>
      <c r="AH81" s="1008"/>
      <c r="AI81" s="1008"/>
      <c r="AJ81" s="1008"/>
      <c r="AK81" s="1008"/>
      <c r="AL81" s="1008"/>
      <c r="AM81" s="1008"/>
      <c r="AN81" s="1008"/>
      <c r="AO81" s="1008"/>
      <c r="AP81" s="1008"/>
      <c r="AQ81" s="1008"/>
      <c r="AR81" s="1008"/>
      <c r="AS81" s="1008"/>
      <c r="AT81" s="203"/>
      <c r="AU81" s="1011">
        <f t="shared" si="73"/>
        <v>1</v>
      </c>
      <c r="AV81" s="1008">
        <f t="shared" si="74"/>
        <v>350000000</v>
      </c>
      <c r="AW81" s="1008"/>
      <c r="AX81" s="1008"/>
      <c r="AY81" s="1008"/>
      <c r="AZ81" s="1008"/>
      <c r="BA81" s="1008"/>
      <c r="BB81" s="1008"/>
      <c r="BC81" s="1008">
        <f>+'[10]MARZO 2015'!$O$1360-20000000</f>
        <v>350000000</v>
      </c>
      <c r="BD81" s="1008"/>
      <c r="BE81" s="1008"/>
      <c r="BF81" s="1008"/>
      <c r="BG81" s="1008"/>
      <c r="BH81" s="1008"/>
      <c r="BI81" s="1008"/>
      <c r="BJ81" s="1008"/>
      <c r="BK81" s="1008"/>
      <c r="BL81" s="1008"/>
      <c r="BM81" s="1008"/>
      <c r="BN81" s="1008"/>
      <c r="BO81" s="1008"/>
      <c r="BP81" s="1008"/>
      <c r="BQ81" s="1011">
        <f t="shared" si="25"/>
        <v>0</v>
      </c>
      <c r="BR81" s="1008">
        <f t="shared" si="75"/>
        <v>0</v>
      </c>
      <c r="BS81" s="1008">
        <f t="shared" si="76"/>
        <v>0</v>
      </c>
      <c r="BT81" s="1008">
        <f t="shared" si="77"/>
        <v>0</v>
      </c>
      <c r="BU81" s="1008"/>
      <c r="BV81" s="1008">
        <f t="shared" si="78"/>
        <v>0</v>
      </c>
      <c r="BW81" s="1008"/>
      <c r="BX81" s="1008">
        <f t="shared" si="79"/>
        <v>0</v>
      </c>
      <c r="BY81" s="1008">
        <f t="shared" si="79"/>
        <v>0</v>
      </c>
      <c r="BZ81" s="1008"/>
      <c r="CA81" s="1008">
        <f t="shared" ref="CA81:CB103" si="92">+AH81-BE81</f>
        <v>0</v>
      </c>
      <c r="CB81" s="1008">
        <f t="shared" si="80"/>
        <v>0</v>
      </c>
      <c r="CC81" s="1008">
        <f>+AJ81-BG81</f>
        <v>0</v>
      </c>
      <c r="CD81" s="1008">
        <f t="shared" si="80"/>
        <v>0</v>
      </c>
      <c r="CE81" s="1008">
        <f t="shared" si="80"/>
        <v>0</v>
      </c>
      <c r="CF81" s="1008">
        <f t="shared" si="80"/>
        <v>0</v>
      </c>
      <c r="CG81" s="1008">
        <f t="shared" si="80"/>
        <v>0</v>
      </c>
      <c r="CH81" s="1008">
        <f t="shared" si="80"/>
        <v>0</v>
      </c>
      <c r="CI81" s="1008">
        <f t="shared" si="80"/>
        <v>0</v>
      </c>
      <c r="CJ81" s="1008">
        <f>+AQ81-BN81</f>
        <v>0</v>
      </c>
      <c r="CK81" s="1008"/>
      <c r="CL81" s="1008">
        <f t="shared" si="81"/>
        <v>0</v>
      </c>
      <c r="CM81" s="1011">
        <f t="shared" si="82"/>
        <v>0.76589779714285711</v>
      </c>
      <c r="CN81" s="1008">
        <f t="shared" si="83"/>
        <v>268064229</v>
      </c>
      <c r="CO81" s="1008"/>
      <c r="CP81" s="1008"/>
      <c r="CQ81" s="1008"/>
      <c r="CR81" s="1008"/>
      <c r="CS81" s="1008"/>
      <c r="CT81" s="1008"/>
      <c r="CU81" s="1008">
        <f>+'[18]OCTUBRE 2015'!$H$3679</f>
        <v>268064229</v>
      </c>
      <c r="CV81" s="1008"/>
      <c r="CW81" s="1008"/>
      <c r="CX81" s="1008"/>
      <c r="CY81" s="1008"/>
      <c r="CZ81" s="1008"/>
      <c r="DA81" s="1008"/>
      <c r="DB81" s="1008"/>
      <c r="DC81" s="1008"/>
      <c r="DD81" s="1008"/>
      <c r="DE81" s="1008"/>
      <c r="DF81" s="1008"/>
      <c r="DG81" s="1008"/>
      <c r="DH81" s="1008"/>
      <c r="DI81" s="1011">
        <f t="shared" si="84"/>
        <v>0.23410220285714289</v>
      </c>
      <c r="DJ81" s="1008">
        <f t="shared" si="85"/>
        <v>81935771</v>
      </c>
      <c r="DK81" s="1008"/>
      <c r="DL81" s="1008"/>
      <c r="DM81" s="1008"/>
      <c r="DN81" s="1008">
        <f t="shared" si="86"/>
        <v>0</v>
      </c>
      <c r="DO81" s="1008"/>
      <c r="DP81" s="1008">
        <f t="shared" si="87"/>
        <v>0</v>
      </c>
      <c r="DQ81" s="1008">
        <f t="shared" si="87"/>
        <v>81935771</v>
      </c>
      <c r="DR81" s="1008"/>
      <c r="DS81" s="1008">
        <f t="shared" si="88"/>
        <v>0</v>
      </c>
      <c r="DT81" s="1008">
        <f t="shared" si="88"/>
        <v>0</v>
      </c>
      <c r="DU81" s="1008"/>
      <c r="DV81" s="1008">
        <f t="shared" si="89"/>
        <v>0</v>
      </c>
      <c r="DW81" s="1008">
        <f t="shared" si="89"/>
        <v>0</v>
      </c>
      <c r="DX81" s="1008">
        <f t="shared" si="89"/>
        <v>0</v>
      </c>
      <c r="DY81" s="1008">
        <f t="shared" si="90"/>
        <v>0</v>
      </c>
      <c r="DZ81" s="1008">
        <f t="shared" si="90"/>
        <v>0</v>
      </c>
      <c r="EA81" s="1008">
        <f t="shared" si="90"/>
        <v>0</v>
      </c>
      <c r="EB81" s="1008">
        <f t="shared" si="90"/>
        <v>0</v>
      </c>
      <c r="EC81" s="1008"/>
      <c r="ED81" s="1008">
        <f t="shared" si="91"/>
        <v>0</v>
      </c>
    </row>
    <row r="82" spans="1:134" ht="49.5" customHeight="1" x14ac:dyDescent="0.25">
      <c r="A82" s="1565"/>
      <c r="B82" s="1019"/>
      <c r="C82" s="1094" t="s">
        <v>4419</v>
      </c>
      <c r="D82" s="1019" t="s">
        <v>4354</v>
      </c>
      <c r="E82" s="1020">
        <v>520</v>
      </c>
      <c r="F82" s="1097" t="s">
        <v>4670</v>
      </c>
      <c r="G82" s="1400"/>
      <c r="H82" s="1061">
        <f t="shared" si="70"/>
        <v>5875427</v>
      </c>
      <c r="I82" s="1061">
        <f t="shared" si="71"/>
        <v>4524074</v>
      </c>
      <c r="J82" s="1270"/>
      <c r="K82" s="1305"/>
      <c r="L82" s="1284"/>
      <c r="M82" s="1093">
        <v>6</v>
      </c>
      <c r="N82" s="1093">
        <v>5</v>
      </c>
      <c r="O82" s="1093">
        <v>0</v>
      </c>
      <c r="P82" s="1093">
        <v>61</v>
      </c>
      <c r="Q82" s="1093">
        <v>35</v>
      </c>
      <c r="R82" s="1093">
        <v>21</v>
      </c>
      <c r="S82" s="1097"/>
      <c r="T82" s="1097"/>
      <c r="U82" s="1097"/>
      <c r="V82" s="1097"/>
      <c r="W82" s="1097"/>
      <c r="X82" s="1097"/>
      <c r="Y82" s="1008">
        <f t="shared" si="72"/>
        <v>10399501</v>
      </c>
      <c r="Z82" s="944"/>
      <c r="AA82" s="944"/>
      <c r="AB82" s="944"/>
      <c r="AC82" s="944"/>
      <c r="AD82" s="944"/>
      <c r="AE82" s="944"/>
      <c r="AF82" s="1008"/>
      <c r="AG82" s="1008"/>
      <c r="AH82" s="1008"/>
      <c r="AI82" s="1008"/>
      <c r="AJ82" s="1008"/>
      <c r="AK82" s="1008"/>
      <c r="AL82" s="1008"/>
      <c r="AM82" s="1008"/>
      <c r="AN82" s="1008"/>
      <c r="AO82" s="1008"/>
      <c r="AP82" s="1008"/>
      <c r="AQ82" s="1008"/>
      <c r="AR82" s="1008"/>
      <c r="AS82" s="1008">
        <f>4000000+2500000+3899501</f>
        <v>10399501</v>
      </c>
      <c r="AT82" s="203"/>
      <c r="AU82" s="1011">
        <f t="shared" si="73"/>
        <v>1</v>
      </c>
      <c r="AV82" s="1008">
        <f t="shared" si="74"/>
        <v>10399501</v>
      </c>
      <c r="AW82" s="1008"/>
      <c r="AX82" s="1008"/>
      <c r="AY82" s="1008"/>
      <c r="AZ82" s="1008"/>
      <c r="BA82" s="1008"/>
      <c r="BB82" s="1008"/>
      <c r="BC82" s="1008"/>
      <c r="BD82" s="1008"/>
      <c r="BE82" s="1008"/>
      <c r="BF82" s="1008"/>
      <c r="BG82" s="1008"/>
      <c r="BH82" s="1008"/>
      <c r="BI82" s="1008"/>
      <c r="BJ82" s="1008"/>
      <c r="BK82" s="1008"/>
      <c r="BL82" s="1008"/>
      <c r="BM82" s="1008"/>
      <c r="BN82" s="1008"/>
      <c r="BO82" s="1008"/>
      <c r="BP82" s="1008">
        <f>+'[17]SEPTIEMBRE 2015'!$AD$3327</f>
        <v>10399501</v>
      </c>
      <c r="BQ82" s="1011">
        <f t="shared" si="25"/>
        <v>0</v>
      </c>
      <c r="BR82" s="1008">
        <f t="shared" si="75"/>
        <v>0</v>
      </c>
      <c r="BS82" s="1008">
        <f t="shared" si="76"/>
        <v>0</v>
      </c>
      <c r="BT82" s="1008">
        <f t="shared" si="77"/>
        <v>0</v>
      </c>
      <c r="BU82" s="1008"/>
      <c r="BV82" s="1008">
        <f t="shared" si="78"/>
        <v>0</v>
      </c>
      <c r="BW82" s="1008"/>
      <c r="BX82" s="1008">
        <f t="shared" si="79"/>
        <v>0</v>
      </c>
      <c r="BY82" s="1008">
        <f t="shared" si="79"/>
        <v>0</v>
      </c>
      <c r="BZ82" s="1008"/>
      <c r="CA82" s="1008">
        <f t="shared" si="92"/>
        <v>0</v>
      </c>
      <c r="CB82" s="1008">
        <f t="shared" si="80"/>
        <v>0</v>
      </c>
      <c r="CC82" s="1008">
        <f>+AJ82-BG82</f>
        <v>0</v>
      </c>
      <c r="CD82" s="1008">
        <f t="shared" si="80"/>
        <v>0</v>
      </c>
      <c r="CE82" s="1008">
        <f t="shared" si="80"/>
        <v>0</v>
      </c>
      <c r="CF82" s="1008">
        <f t="shared" si="80"/>
        <v>0</v>
      </c>
      <c r="CG82" s="1008">
        <f t="shared" si="80"/>
        <v>0</v>
      </c>
      <c r="CH82" s="1008">
        <f t="shared" si="80"/>
        <v>0</v>
      </c>
      <c r="CI82" s="1008">
        <f t="shared" si="80"/>
        <v>0</v>
      </c>
      <c r="CJ82" s="1008"/>
      <c r="CK82" s="1008"/>
      <c r="CL82" s="1008">
        <f t="shared" si="81"/>
        <v>0</v>
      </c>
      <c r="CM82" s="1011">
        <f t="shared" si="82"/>
        <v>0.56497201163786603</v>
      </c>
      <c r="CN82" s="1008">
        <f t="shared" si="83"/>
        <v>5875427</v>
      </c>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f>+'[18]OCTUBRE 2015'!$H$3812</f>
        <v>5875427</v>
      </c>
      <c r="DI82" s="1011">
        <f t="shared" si="84"/>
        <v>0.43502798836213397</v>
      </c>
      <c r="DJ82" s="1008">
        <f t="shared" si="85"/>
        <v>4524074</v>
      </c>
      <c r="DK82" s="1008"/>
      <c r="DL82" s="1008"/>
      <c r="DM82" s="1008"/>
      <c r="DN82" s="1008">
        <f t="shared" si="86"/>
        <v>0</v>
      </c>
      <c r="DO82" s="1008"/>
      <c r="DP82" s="1008">
        <f t="shared" si="87"/>
        <v>0</v>
      </c>
      <c r="DQ82" s="1008">
        <f t="shared" si="87"/>
        <v>0</v>
      </c>
      <c r="DR82" s="1008"/>
      <c r="DS82" s="1008">
        <f t="shared" si="88"/>
        <v>0</v>
      </c>
      <c r="DT82" s="1008">
        <f t="shared" si="88"/>
        <v>0</v>
      </c>
      <c r="DU82" s="1008"/>
      <c r="DV82" s="1008">
        <f t="shared" si="89"/>
        <v>0</v>
      </c>
      <c r="DW82" s="1008">
        <f t="shared" si="89"/>
        <v>0</v>
      </c>
      <c r="DX82" s="1008">
        <f t="shared" si="89"/>
        <v>0</v>
      </c>
      <c r="DY82" s="1008">
        <f t="shared" si="90"/>
        <v>0</v>
      </c>
      <c r="DZ82" s="1008">
        <f t="shared" si="90"/>
        <v>0</v>
      </c>
      <c r="EA82" s="1008">
        <f t="shared" si="90"/>
        <v>0</v>
      </c>
      <c r="EB82" s="1008">
        <f t="shared" si="90"/>
        <v>0</v>
      </c>
      <c r="EC82" s="1008"/>
      <c r="ED82" s="1008">
        <f t="shared" si="91"/>
        <v>4524074</v>
      </c>
    </row>
    <row r="83" spans="1:134" ht="36" customHeight="1" x14ac:dyDescent="0.25">
      <c r="A83" s="1565"/>
      <c r="B83" s="1027"/>
      <c r="C83" s="1094" t="s">
        <v>4420</v>
      </c>
      <c r="D83" s="1019" t="s">
        <v>4616</v>
      </c>
      <c r="E83" s="1111">
        <v>520</v>
      </c>
      <c r="F83" s="1097" t="s">
        <v>3350</v>
      </c>
      <c r="G83" s="1400"/>
      <c r="H83" s="1061">
        <f t="shared" si="70"/>
        <v>47812859</v>
      </c>
      <c r="I83" s="1061">
        <f t="shared" si="71"/>
        <v>52187141</v>
      </c>
      <c r="J83" s="1270" t="s">
        <v>4848</v>
      </c>
      <c r="K83" s="1305" t="s">
        <v>4874</v>
      </c>
      <c r="L83" s="1283" t="s">
        <v>4880</v>
      </c>
      <c r="M83" s="1093">
        <v>7</v>
      </c>
      <c r="N83" s="1093">
        <v>31</v>
      </c>
      <c r="O83" s="1093">
        <v>2</v>
      </c>
      <c r="P83" s="1093">
        <v>22</v>
      </c>
      <c r="Q83" s="1093">
        <v>31</v>
      </c>
      <c r="R83" s="1093">
        <v>7</v>
      </c>
      <c r="S83" s="1097"/>
      <c r="T83" s="1097"/>
      <c r="U83" s="1097"/>
      <c r="V83" s="1097"/>
      <c r="W83" s="1097"/>
      <c r="X83" s="1097"/>
      <c r="Y83" s="1008">
        <f t="shared" si="72"/>
        <v>100000000</v>
      </c>
      <c r="Z83" s="991"/>
      <c r="AA83" s="1017">
        <f>100000000-100000000</f>
        <v>0</v>
      </c>
      <c r="AB83" s="1017"/>
      <c r="AC83" s="991"/>
      <c r="AD83" s="991"/>
      <c r="AE83" s="991"/>
      <c r="AF83" s="1008">
        <v>100000000</v>
      </c>
      <c r="AG83" s="1008"/>
      <c r="AH83" s="1008"/>
      <c r="AI83" s="1008"/>
      <c r="AJ83" s="1008"/>
      <c r="AK83" s="1008"/>
      <c r="AL83" s="1008"/>
      <c r="AM83" s="1008"/>
      <c r="AN83" s="1008"/>
      <c r="AO83" s="1008"/>
      <c r="AP83" s="1008"/>
      <c r="AQ83" s="1008"/>
      <c r="AR83" s="1008"/>
      <c r="AS83" s="1008"/>
      <c r="AT83" s="203"/>
      <c r="AU83" s="1011">
        <f t="shared" si="73"/>
        <v>0.7</v>
      </c>
      <c r="AV83" s="1008">
        <f t="shared" si="74"/>
        <v>70000000</v>
      </c>
      <c r="AW83" s="1008"/>
      <c r="AX83" s="1008"/>
      <c r="AY83" s="1008"/>
      <c r="AZ83" s="1008"/>
      <c r="BA83" s="1008"/>
      <c r="BB83" s="1008"/>
      <c r="BC83" s="1008">
        <f>+'[18]OCTUBRE 2015'!$P$3837</f>
        <v>70000000</v>
      </c>
      <c r="BD83" s="1008"/>
      <c r="BE83" s="1008"/>
      <c r="BF83" s="1008"/>
      <c r="BG83" s="1008"/>
      <c r="BH83" s="1008"/>
      <c r="BI83" s="1008"/>
      <c r="BJ83" s="1008"/>
      <c r="BK83" s="1008"/>
      <c r="BL83" s="1008"/>
      <c r="BM83" s="1008"/>
      <c r="BN83" s="1008"/>
      <c r="BO83" s="1008"/>
      <c r="BP83" s="1008"/>
      <c r="BQ83" s="1011">
        <f t="shared" si="25"/>
        <v>0.30000000000000004</v>
      </c>
      <c r="BR83" s="1008">
        <f t="shared" si="75"/>
        <v>30000000</v>
      </c>
      <c r="BS83" s="1008">
        <f t="shared" si="76"/>
        <v>0</v>
      </c>
      <c r="BT83" s="1008">
        <f t="shared" si="77"/>
        <v>0</v>
      </c>
      <c r="BU83" s="1008"/>
      <c r="BV83" s="1008">
        <f t="shared" si="78"/>
        <v>0</v>
      </c>
      <c r="BW83" s="1008"/>
      <c r="BX83" s="1008">
        <f t="shared" si="79"/>
        <v>0</v>
      </c>
      <c r="BY83" s="1008">
        <f t="shared" si="79"/>
        <v>30000000</v>
      </c>
      <c r="BZ83" s="1008"/>
      <c r="CA83" s="1008">
        <f t="shared" si="92"/>
        <v>0</v>
      </c>
      <c r="CB83" s="1008">
        <f t="shared" si="80"/>
        <v>0</v>
      </c>
      <c r="CC83" s="1008">
        <f>+AJ83-BG83</f>
        <v>0</v>
      </c>
      <c r="CD83" s="1008">
        <f t="shared" si="80"/>
        <v>0</v>
      </c>
      <c r="CE83" s="1008">
        <f t="shared" si="80"/>
        <v>0</v>
      </c>
      <c r="CF83" s="1008">
        <f t="shared" si="80"/>
        <v>0</v>
      </c>
      <c r="CG83" s="1008">
        <f t="shared" si="80"/>
        <v>0</v>
      </c>
      <c r="CH83" s="1008">
        <f t="shared" si="80"/>
        <v>0</v>
      </c>
      <c r="CI83" s="1008">
        <f t="shared" si="80"/>
        <v>0</v>
      </c>
      <c r="CJ83" s="1008"/>
      <c r="CK83" s="1008"/>
      <c r="CL83" s="1008">
        <f t="shared" si="81"/>
        <v>0</v>
      </c>
      <c r="CM83" s="1011">
        <f t="shared" si="82"/>
        <v>0.47812859000000002</v>
      </c>
      <c r="CN83" s="1008">
        <f t="shared" si="83"/>
        <v>47812859</v>
      </c>
      <c r="CO83" s="1008"/>
      <c r="CP83" s="1008"/>
      <c r="CQ83" s="1008"/>
      <c r="CR83" s="1008"/>
      <c r="CS83" s="1008"/>
      <c r="CT83" s="1008"/>
      <c r="CU83" s="1008">
        <f>+'[18]OCTUBRE 2015'!$H$3835</f>
        <v>47812859</v>
      </c>
      <c r="CV83" s="1008"/>
      <c r="CW83" s="1008"/>
      <c r="CX83" s="1008"/>
      <c r="CY83" s="1008"/>
      <c r="CZ83" s="1008"/>
      <c r="DA83" s="1008"/>
      <c r="DB83" s="1008"/>
      <c r="DC83" s="1008"/>
      <c r="DD83" s="1008"/>
      <c r="DE83" s="1008"/>
      <c r="DF83" s="1008"/>
      <c r="DG83" s="1008"/>
      <c r="DH83" s="1008"/>
      <c r="DI83" s="1011">
        <f t="shared" si="84"/>
        <v>0.52187140999999992</v>
      </c>
      <c r="DJ83" s="1008">
        <f t="shared" si="85"/>
        <v>52187141</v>
      </c>
      <c r="DK83" s="1008"/>
      <c r="DL83" s="1008">
        <f>AA83-CP83</f>
        <v>0</v>
      </c>
      <c r="DM83" s="1008">
        <f>AB83-CQ83</f>
        <v>0</v>
      </c>
      <c r="DN83" s="1008">
        <f t="shared" si="86"/>
        <v>0</v>
      </c>
      <c r="DO83" s="1008"/>
      <c r="DP83" s="1008">
        <f t="shared" si="87"/>
        <v>0</v>
      </c>
      <c r="DQ83" s="1008">
        <f t="shared" si="87"/>
        <v>52187141</v>
      </c>
      <c r="DR83" s="1008"/>
      <c r="DS83" s="1008">
        <f t="shared" si="88"/>
        <v>0</v>
      </c>
      <c r="DT83" s="1008">
        <f t="shared" si="88"/>
        <v>0</v>
      </c>
      <c r="DU83" s="1008"/>
      <c r="DV83" s="1008">
        <f t="shared" si="89"/>
        <v>0</v>
      </c>
      <c r="DW83" s="1008">
        <f t="shared" si="89"/>
        <v>0</v>
      </c>
      <c r="DX83" s="1008">
        <f t="shared" si="89"/>
        <v>0</v>
      </c>
      <c r="DY83" s="1008">
        <f t="shared" si="90"/>
        <v>0</v>
      </c>
      <c r="DZ83" s="1008">
        <f t="shared" si="90"/>
        <v>0</v>
      </c>
      <c r="EA83" s="1008">
        <f t="shared" si="90"/>
        <v>0</v>
      </c>
      <c r="EB83" s="1008">
        <f t="shared" si="90"/>
        <v>0</v>
      </c>
      <c r="EC83" s="1008"/>
      <c r="ED83" s="1008">
        <f t="shared" si="91"/>
        <v>0</v>
      </c>
    </row>
    <row r="84" spans="1:134" ht="33" customHeight="1" x14ac:dyDescent="0.25">
      <c r="A84" s="1565"/>
      <c r="B84" s="1019"/>
      <c r="C84" s="1094" t="s">
        <v>4421</v>
      </c>
      <c r="D84" s="1019" t="s">
        <v>4617</v>
      </c>
      <c r="E84" s="1020">
        <v>520</v>
      </c>
      <c r="F84" s="1097" t="s">
        <v>3350</v>
      </c>
      <c r="G84" s="1400"/>
      <c r="H84" s="1061">
        <f t="shared" si="70"/>
        <v>95938962</v>
      </c>
      <c r="I84" s="1061">
        <f t="shared" si="71"/>
        <v>34061038</v>
      </c>
      <c r="J84" s="1270"/>
      <c r="K84" s="1305"/>
      <c r="L84" s="1284"/>
      <c r="M84" s="1093">
        <v>7</v>
      </c>
      <c r="N84" s="1093">
        <v>11</v>
      </c>
      <c r="O84" s="1093">
        <v>1</v>
      </c>
      <c r="P84" s="1093">
        <v>38</v>
      </c>
      <c r="Q84" s="1093">
        <v>116</v>
      </c>
      <c r="R84" s="1093">
        <v>44</v>
      </c>
      <c r="S84" s="1097"/>
      <c r="T84" s="1097"/>
      <c r="U84" s="1097"/>
      <c r="V84" s="1097"/>
      <c r="W84" s="1097"/>
      <c r="X84" s="1097"/>
      <c r="Y84" s="1008">
        <f t="shared" si="72"/>
        <v>130000000</v>
      </c>
      <c r="Z84" s="944"/>
      <c r="AA84" s="1017">
        <f>200000000-200000000</f>
        <v>0</v>
      </c>
      <c r="AB84" s="1017"/>
      <c r="AC84" s="944"/>
      <c r="AD84" s="944"/>
      <c r="AE84" s="944"/>
      <c r="AF84" s="1008">
        <f>200000000-60000000-10000000</f>
        <v>130000000</v>
      </c>
      <c r="AG84" s="1008"/>
      <c r="AH84" s="1008"/>
      <c r="AI84" s="1008"/>
      <c r="AJ84" s="1008"/>
      <c r="AK84" s="1008"/>
      <c r="AL84" s="1008"/>
      <c r="AM84" s="1008"/>
      <c r="AN84" s="1008"/>
      <c r="AO84" s="1008"/>
      <c r="AP84" s="1008"/>
      <c r="AQ84" s="1008"/>
      <c r="AR84" s="1008"/>
      <c r="AS84" s="1008"/>
      <c r="AT84" s="203"/>
      <c r="AU84" s="1011">
        <f t="shared" si="73"/>
        <v>0.84615384615384615</v>
      </c>
      <c r="AV84" s="1008">
        <f t="shared" si="74"/>
        <v>110000000</v>
      </c>
      <c r="AW84" s="1008"/>
      <c r="AX84" s="1008"/>
      <c r="AY84" s="1008"/>
      <c r="AZ84" s="1008"/>
      <c r="BA84" s="1008"/>
      <c r="BB84" s="1008"/>
      <c r="BC84" s="1008">
        <f>+'[18]OCTUBRE 2015'!$P$3902</f>
        <v>110000000</v>
      </c>
      <c r="BD84" s="1008"/>
      <c r="BE84" s="1008"/>
      <c r="BF84" s="1008"/>
      <c r="BG84" s="1008"/>
      <c r="BH84" s="1008"/>
      <c r="BI84" s="1008"/>
      <c r="BJ84" s="1008"/>
      <c r="BK84" s="1008"/>
      <c r="BL84" s="1008"/>
      <c r="BM84" s="1008"/>
      <c r="BN84" s="1008"/>
      <c r="BO84" s="1008"/>
      <c r="BP84" s="1008"/>
      <c r="BQ84" s="1011">
        <f t="shared" si="25"/>
        <v>0.15384615384615385</v>
      </c>
      <c r="BR84" s="1008">
        <f t="shared" si="75"/>
        <v>20000000</v>
      </c>
      <c r="BS84" s="1008">
        <f t="shared" si="76"/>
        <v>0</v>
      </c>
      <c r="BT84" s="1008">
        <f t="shared" si="77"/>
        <v>0</v>
      </c>
      <c r="BU84" s="1008"/>
      <c r="BV84" s="1008">
        <f t="shared" si="78"/>
        <v>0</v>
      </c>
      <c r="BW84" s="1008"/>
      <c r="BX84" s="1008">
        <f t="shared" si="79"/>
        <v>0</v>
      </c>
      <c r="BY84" s="1008">
        <f t="shared" si="79"/>
        <v>20000000</v>
      </c>
      <c r="BZ84" s="1008"/>
      <c r="CA84" s="1008">
        <f t="shared" si="92"/>
        <v>0</v>
      </c>
      <c r="CB84" s="1008">
        <f t="shared" si="92"/>
        <v>0</v>
      </c>
      <c r="CC84" s="1008">
        <f>+AJ84-BG84</f>
        <v>0</v>
      </c>
      <c r="CD84" s="1008">
        <f t="shared" ref="CD84:CI103" si="93">+AK84-BH84</f>
        <v>0</v>
      </c>
      <c r="CE84" s="1008">
        <f t="shared" si="93"/>
        <v>0</v>
      </c>
      <c r="CF84" s="1008">
        <f t="shared" si="93"/>
        <v>0</v>
      </c>
      <c r="CG84" s="1008">
        <f t="shared" si="93"/>
        <v>0</v>
      </c>
      <c r="CH84" s="1008">
        <f t="shared" si="93"/>
        <v>0</v>
      </c>
      <c r="CI84" s="1008">
        <f t="shared" si="93"/>
        <v>0</v>
      </c>
      <c r="CJ84" s="1008"/>
      <c r="CK84" s="1008"/>
      <c r="CL84" s="1008">
        <f t="shared" si="81"/>
        <v>0</v>
      </c>
      <c r="CM84" s="1011">
        <f t="shared" si="82"/>
        <v>0.73799201538461534</v>
      </c>
      <c r="CN84" s="1008">
        <f t="shared" si="83"/>
        <v>95938962</v>
      </c>
      <c r="CO84" s="1008"/>
      <c r="CP84" s="1008"/>
      <c r="CQ84" s="1008"/>
      <c r="CR84" s="1008"/>
      <c r="CS84" s="1008"/>
      <c r="CT84" s="1008"/>
      <c r="CU84" s="1008">
        <f>+'[18]OCTUBRE 2015'!$H$3900</f>
        <v>95938962</v>
      </c>
      <c r="CV84" s="1008"/>
      <c r="CW84" s="1008"/>
      <c r="CX84" s="1008"/>
      <c r="CY84" s="1008"/>
      <c r="CZ84" s="1008"/>
      <c r="DA84" s="1008"/>
      <c r="DB84" s="1008"/>
      <c r="DC84" s="1008"/>
      <c r="DD84" s="1008"/>
      <c r="DE84" s="1008"/>
      <c r="DF84" s="1008"/>
      <c r="DG84" s="1008"/>
      <c r="DH84" s="1008"/>
      <c r="DI84" s="1011">
        <f t="shared" si="84"/>
        <v>0.26200798461538466</v>
      </c>
      <c r="DJ84" s="1008">
        <f t="shared" si="85"/>
        <v>34061038</v>
      </c>
      <c r="DK84" s="1008"/>
      <c r="DL84" s="1008">
        <f>AA84-CP84</f>
        <v>0</v>
      </c>
      <c r="DM84" s="1008">
        <f>AB84-CQ84</f>
        <v>0</v>
      </c>
      <c r="DN84" s="1008">
        <f t="shared" si="86"/>
        <v>0</v>
      </c>
      <c r="DO84" s="1008"/>
      <c r="DP84" s="1008">
        <f t="shared" si="87"/>
        <v>0</v>
      </c>
      <c r="DQ84" s="1008">
        <f t="shared" si="87"/>
        <v>34061038</v>
      </c>
      <c r="DR84" s="1008"/>
      <c r="DS84" s="1008">
        <f t="shared" si="88"/>
        <v>0</v>
      </c>
      <c r="DT84" s="1008">
        <f t="shared" si="88"/>
        <v>0</v>
      </c>
      <c r="DU84" s="1008"/>
      <c r="DV84" s="1008">
        <f t="shared" si="89"/>
        <v>0</v>
      </c>
      <c r="DW84" s="1008">
        <f t="shared" si="89"/>
        <v>0</v>
      </c>
      <c r="DX84" s="1008">
        <f t="shared" si="89"/>
        <v>0</v>
      </c>
      <c r="DY84" s="1008">
        <f t="shared" si="90"/>
        <v>0</v>
      </c>
      <c r="DZ84" s="1008">
        <f t="shared" si="90"/>
        <v>0</v>
      </c>
      <c r="EA84" s="1008">
        <f t="shared" si="90"/>
        <v>0</v>
      </c>
      <c r="EB84" s="1008">
        <f t="shared" si="90"/>
        <v>0</v>
      </c>
      <c r="EC84" s="1008"/>
      <c r="ED84" s="1008">
        <f t="shared" si="91"/>
        <v>0</v>
      </c>
    </row>
    <row r="85" spans="1:134" ht="57.75" customHeight="1" x14ac:dyDescent="0.25">
      <c r="A85" s="1565"/>
      <c r="B85" s="1027"/>
      <c r="C85" s="1094" t="s">
        <v>4422</v>
      </c>
      <c r="D85" s="1019" t="s">
        <v>4356</v>
      </c>
      <c r="E85" s="1111">
        <v>520</v>
      </c>
      <c r="F85" s="1097" t="s">
        <v>4674</v>
      </c>
      <c r="G85" s="1400"/>
      <c r="H85" s="1061">
        <f t="shared" si="70"/>
        <v>425865362</v>
      </c>
      <c r="I85" s="1061">
        <f t="shared" si="71"/>
        <v>21128471</v>
      </c>
      <c r="J85" s="1399" t="s">
        <v>4868</v>
      </c>
      <c r="K85" s="1283" t="s">
        <v>4875</v>
      </c>
      <c r="L85" s="1283" t="s">
        <v>4881</v>
      </c>
      <c r="M85" s="1093">
        <v>78</v>
      </c>
      <c r="N85" s="1093">
        <v>45</v>
      </c>
      <c r="O85" s="1093">
        <v>35</v>
      </c>
      <c r="P85" s="1093">
        <v>50</v>
      </c>
      <c r="Q85" s="1093">
        <v>60</v>
      </c>
      <c r="R85" s="1093">
        <v>30</v>
      </c>
      <c r="S85" s="1097"/>
      <c r="T85" s="1097"/>
      <c r="U85" s="1097"/>
      <c r="V85" s="1097"/>
      <c r="W85" s="1097"/>
      <c r="X85" s="1097"/>
      <c r="Y85" s="1008">
        <f t="shared" si="72"/>
        <v>446993833</v>
      </c>
      <c r="Z85" s="991"/>
      <c r="AA85" s="991"/>
      <c r="AB85" s="991"/>
      <c r="AC85" s="991"/>
      <c r="AD85" s="991"/>
      <c r="AE85" s="991"/>
      <c r="AF85" s="1008"/>
      <c r="AG85" s="1008"/>
      <c r="AH85" s="1008"/>
      <c r="AI85" s="1008"/>
      <c r="AJ85" s="1008"/>
      <c r="AK85" s="1008"/>
      <c r="AL85" s="1008"/>
      <c r="AM85" s="1008"/>
      <c r="AN85" s="1008"/>
      <c r="AO85" s="1008"/>
      <c r="AP85" s="1008"/>
      <c r="AQ85" s="1008"/>
      <c r="AR85" s="1008"/>
      <c r="AS85" s="1008">
        <f>111000000+41000000+32000000+9000000+19000000+17271328+15000000+191272505+6000000+5450000</f>
        <v>446993833</v>
      </c>
      <c r="AT85" s="203"/>
      <c r="AU85" s="1011">
        <f t="shared" si="73"/>
        <v>1</v>
      </c>
      <c r="AV85" s="1008">
        <f t="shared" si="74"/>
        <v>446993833</v>
      </c>
      <c r="AW85" s="1008"/>
      <c r="AX85" s="1008"/>
      <c r="AY85" s="1008"/>
      <c r="AZ85" s="1008"/>
      <c r="BA85" s="1008"/>
      <c r="BB85" s="1008"/>
      <c r="BC85" s="1008"/>
      <c r="BD85" s="1008"/>
      <c r="BE85" s="1008"/>
      <c r="BF85" s="1008"/>
      <c r="BG85" s="1008"/>
      <c r="BH85" s="1008"/>
      <c r="BI85" s="1008"/>
      <c r="BJ85" s="1008"/>
      <c r="BK85" s="1008"/>
      <c r="BL85" s="1008"/>
      <c r="BM85" s="1008"/>
      <c r="BN85" s="1008"/>
      <c r="BO85" s="1008"/>
      <c r="BP85" s="1008">
        <f>+'[17]SEPTIEMBRE 2015'!$AD$3491</f>
        <v>446993833</v>
      </c>
      <c r="BQ85" s="1011">
        <f t="shared" si="25"/>
        <v>0</v>
      </c>
      <c r="BR85" s="1008">
        <f t="shared" si="75"/>
        <v>0</v>
      </c>
      <c r="BS85" s="1008">
        <f t="shared" si="76"/>
        <v>0</v>
      </c>
      <c r="BT85" s="1008">
        <f t="shared" si="77"/>
        <v>0</v>
      </c>
      <c r="BU85" s="1008"/>
      <c r="BV85" s="1008">
        <f t="shared" si="78"/>
        <v>0</v>
      </c>
      <c r="BW85" s="1008"/>
      <c r="BX85" s="1008">
        <f t="shared" si="79"/>
        <v>0</v>
      </c>
      <c r="BY85" s="1008">
        <f t="shared" si="79"/>
        <v>0</v>
      </c>
      <c r="BZ85" s="1008"/>
      <c r="CA85" s="1008">
        <f t="shared" si="92"/>
        <v>0</v>
      </c>
      <c r="CB85" s="1008">
        <f t="shared" si="92"/>
        <v>0</v>
      </c>
      <c r="CC85" s="1008"/>
      <c r="CD85" s="1008">
        <f t="shared" si="93"/>
        <v>0</v>
      </c>
      <c r="CE85" s="1008">
        <f t="shared" si="93"/>
        <v>0</v>
      </c>
      <c r="CF85" s="1008">
        <f t="shared" si="93"/>
        <v>0</v>
      </c>
      <c r="CG85" s="1008">
        <f t="shared" si="93"/>
        <v>0</v>
      </c>
      <c r="CH85" s="1008">
        <f t="shared" si="93"/>
        <v>0</v>
      </c>
      <c r="CI85" s="1008">
        <f t="shared" si="93"/>
        <v>0</v>
      </c>
      <c r="CJ85" s="1008"/>
      <c r="CK85" s="1008"/>
      <c r="CL85" s="1008">
        <f t="shared" si="81"/>
        <v>0</v>
      </c>
      <c r="CM85" s="1011">
        <f t="shared" si="82"/>
        <v>0.95273207494117707</v>
      </c>
      <c r="CN85" s="1008">
        <f t="shared" si="83"/>
        <v>425865362</v>
      </c>
      <c r="CO85" s="1008"/>
      <c r="CP85" s="1008"/>
      <c r="CQ85" s="1008"/>
      <c r="CR85" s="1008"/>
      <c r="CS85" s="1008"/>
      <c r="CT85" s="1008"/>
      <c r="CU85" s="1008"/>
      <c r="CV85" s="1008"/>
      <c r="CW85" s="1008"/>
      <c r="CX85" s="1008"/>
      <c r="CY85" s="1008"/>
      <c r="CZ85" s="1008"/>
      <c r="DA85" s="1008"/>
      <c r="DB85" s="1008"/>
      <c r="DC85" s="1008"/>
      <c r="DD85" s="1008"/>
      <c r="DE85" s="1008"/>
      <c r="DF85" s="1008"/>
      <c r="DG85" s="1008"/>
      <c r="DH85" s="1008">
        <f>+'[18]OCTUBRE 2015'!$H$3985</f>
        <v>425865362</v>
      </c>
      <c r="DI85" s="1011">
        <f t="shared" si="84"/>
        <v>4.7267925058822935E-2</v>
      </c>
      <c r="DJ85" s="1008">
        <f t="shared" si="85"/>
        <v>21128471</v>
      </c>
      <c r="DK85" s="1008"/>
      <c r="DL85" s="1008"/>
      <c r="DM85" s="1008"/>
      <c r="DN85" s="1008">
        <f t="shared" si="86"/>
        <v>0</v>
      </c>
      <c r="DO85" s="1008"/>
      <c r="DP85" s="1008">
        <f t="shared" si="87"/>
        <v>0</v>
      </c>
      <c r="DQ85" s="1008">
        <f t="shared" si="87"/>
        <v>0</v>
      </c>
      <c r="DR85" s="1008"/>
      <c r="DS85" s="1008">
        <f t="shared" si="88"/>
        <v>0</v>
      </c>
      <c r="DT85" s="1008">
        <f t="shared" si="88"/>
        <v>0</v>
      </c>
      <c r="DU85" s="1008"/>
      <c r="DV85" s="1008">
        <f t="shared" si="89"/>
        <v>0</v>
      </c>
      <c r="DW85" s="1008">
        <f t="shared" si="89"/>
        <v>0</v>
      </c>
      <c r="DX85" s="1008">
        <f t="shared" si="89"/>
        <v>0</v>
      </c>
      <c r="DY85" s="1008">
        <f t="shared" si="90"/>
        <v>0</v>
      </c>
      <c r="DZ85" s="1008">
        <f t="shared" si="90"/>
        <v>0</v>
      </c>
      <c r="EA85" s="1008">
        <f t="shared" si="90"/>
        <v>0</v>
      </c>
      <c r="EB85" s="1008">
        <f t="shared" si="90"/>
        <v>0</v>
      </c>
      <c r="EC85" s="1008"/>
      <c r="ED85" s="1008">
        <f t="shared" si="91"/>
        <v>21128471</v>
      </c>
    </row>
    <row r="86" spans="1:134" ht="46.5" customHeight="1" x14ac:dyDescent="0.25">
      <c r="A86" s="1565"/>
      <c r="B86" s="1019"/>
      <c r="C86" s="1094" t="s">
        <v>4423</v>
      </c>
      <c r="D86" s="1019" t="s">
        <v>4357</v>
      </c>
      <c r="E86" s="1020">
        <v>520</v>
      </c>
      <c r="F86" s="1097" t="s">
        <v>4737</v>
      </c>
      <c r="G86" s="1400"/>
      <c r="H86" s="1061">
        <f t="shared" si="70"/>
        <v>5904582</v>
      </c>
      <c r="I86" s="1061">
        <f t="shared" si="71"/>
        <v>18651115</v>
      </c>
      <c r="J86" s="1401"/>
      <c r="K86" s="1284"/>
      <c r="L86" s="1284"/>
      <c r="M86" s="1093">
        <v>0</v>
      </c>
      <c r="N86" s="1093">
        <v>0</v>
      </c>
      <c r="O86" s="1093">
        <v>0</v>
      </c>
      <c r="P86" s="1093">
        <v>6</v>
      </c>
      <c r="Q86" s="1093">
        <v>7</v>
      </c>
      <c r="R86" s="1093">
        <v>0</v>
      </c>
      <c r="S86" s="1097"/>
      <c r="T86" s="1097"/>
      <c r="U86" s="1097"/>
      <c r="V86" s="1097"/>
      <c r="W86" s="1097"/>
      <c r="X86" s="1097"/>
      <c r="Y86" s="1008">
        <f t="shared" si="72"/>
        <v>24555697</v>
      </c>
      <c r="Z86" s="944"/>
      <c r="AA86" s="944"/>
      <c r="AB86" s="944"/>
      <c r="AC86" s="944"/>
      <c r="AD86" s="944"/>
      <c r="AE86" s="944"/>
      <c r="AF86" s="1008"/>
      <c r="AG86" s="1008"/>
      <c r="AH86" s="1008"/>
      <c r="AI86" s="1008"/>
      <c r="AJ86" s="1008"/>
      <c r="AK86" s="1008"/>
      <c r="AL86" s="1008"/>
      <c r="AM86" s="1008"/>
      <c r="AN86" s="1008"/>
      <c r="AO86" s="1008"/>
      <c r="AP86" s="1008"/>
      <c r="AQ86" s="1008"/>
      <c r="AR86" s="1008"/>
      <c r="AS86" s="1008">
        <f>3000000+5000000+15055697+1500000</f>
        <v>24555697</v>
      </c>
      <c r="AT86" s="203"/>
      <c r="AU86" s="1011">
        <f t="shared" si="73"/>
        <v>0.37522510560380345</v>
      </c>
      <c r="AV86" s="1008">
        <f t="shared" si="74"/>
        <v>9213914</v>
      </c>
      <c r="AW86" s="1008"/>
      <c r="AX86" s="1008"/>
      <c r="AY86" s="1008"/>
      <c r="AZ86" s="1008"/>
      <c r="BA86" s="1008"/>
      <c r="BB86" s="1008"/>
      <c r="BC86" s="1008"/>
      <c r="BD86" s="1008"/>
      <c r="BE86" s="1008"/>
      <c r="BF86" s="1008"/>
      <c r="BG86" s="1008"/>
      <c r="BH86" s="1008"/>
      <c r="BI86" s="1008"/>
      <c r="BJ86" s="1008"/>
      <c r="BK86" s="1008"/>
      <c r="BL86" s="1008"/>
      <c r="BM86" s="1008"/>
      <c r="BN86" s="1008"/>
      <c r="BO86" s="1008"/>
      <c r="BP86" s="1008">
        <f>+'[18]OCTUBRE 2015'!$AD$4072</f>
        <v>9213914</v>
      </c>
      <c r="BQ86" s="1011">
        <f t="shared" si="25"/>
        <v>0.6247748943961966</v>
      </c>
      <c r="BR86" s="1008">
        <f t="shared" si="75"/>
        <v>15341783</v>
      </c>
      <c r="BS86" s="1008">
        <f t="shared" si="76"/>
        <v>0</v>
      </c>
      <c r="BT86" s="1008">
        <f t="shared" si="77"/>
        <v>0</v>
      </c>
      <c r="BU86" s="1008"/>
      <c r="BV86" s="1008">
        <f t="shared" si="78"/>
        <v>0</v>
      </c>
      <c r="BW86" s="1008"/>
      <c r="BX86" s="1008">
        <f t="shared" si="79"/>
        <v>0</v>
      </c>
      <c r="BY86" s="1008">
        <f t="shared" si="79"/>
        <v>0</v>
      </c>
      <c r="BZ86" s="1008"/>
      <c r="CA86" s="1008">
        <f t="shared" si="92"/>
        <v>0</v>
      </c>
      <c r="CB86" s="1008">
        <f t="shared" si="92"/>
        <v>0</v>
      </c>
      <c r="CC86" s="1008"/>
      <c r="CD86" s="1008">
        <f t="shared" si="93"/>
        <v>0</v>
      </c>
      <c r="CE86" s="1008">
        <f t="shared" si="93"/>
        <v>0</v>
      </c>
      <c r="CF86" s="1008">
        <f t="shared" si="93"/>
        <v>0</v>
      </c>
      <c r="CG86" s="1008">
        <f t="shared" si="93"/>
        <v>0</v>
      </c>
      <c r="CH86" s="1008">
        <f t="shared" si="93"/>
        <v>0</v>
      </c>
      <c r="CI86" s="1008">
        <f t="shared" si="93"/>
        <v>0</v>
      </c>
      <c r="CJ86" s="1008"/>
      <c r="CK86" s="1008"/>
      <c r="CL86" s="1008">
        <f t="shared" si="81"/>
        <v>15341783</v>
      </c>
      <c r="CM86" s="1011">
        <f t="shared" si="82"/>
        <v>0.24045670542359274</v>
      </c>
      <c r="CN86" s="1008">
        <f t="shared" si="83"/>
        <v>5904582</v>
      </c>
      <c r="CO86" s="1008"/>
      <c r="CP86" s="1008"/>
      <c r="CQ86" s="1008"/>
      <c r="CR86" s="1008"/>
      <c r="CS86" s="1008"/>
      <c r="CT86" s="1008"/>
      <c r="CU86" s="1008"/>
      <c r="CV86" s="1008"/>
      <c r="CW86" s="1008"/>
      <c r="CX86" s="1008"/>
      <c r="CY86" s="1008"/>
      <c r="CZ86" s="1008"/>
      <c r="DA86" s="1008"/>
      <c r="DB86" s="1008"/>
      <c r="DC86" s="1008"/>
      <c r="DD86" s="1008"/>
      <c r="DE86" s="1008"/>
      <c r="DF86" s="1008"/>
      <c r="DG86" s="1008"/>
      <c r="DH86" s="1008">
        <f>+'[18]OCTUBRE 2015'!$H$4070</f>
        <v>5904582</v>
      </c>
      <c r="DI86" s="1011">
        <f t="shared" si="84"/>
        <v>0.75954329457640724</v>
      </c>
      <c r="DJ86" s="1008">
        <f t="shared" si="85"/>
        <v>18651115</v>
      </c>
      <c r="DK86" s="1008"/>
      <c r="DL86" s="1008"/>
      <c r="DM86" s="1008"/>
      <c r="DN86" s="1008">
        <f t="shared" si="86"/>
        <v>0</v>
      </c>
      <c r="DO86" s="1008"/>
      <c r="DP86" s="1008">
        <f t="shared" si="87"/>
        <v>0</v>
      </c>
      <c r="DQ86" s="1008">
        <f t="shared" si="87"/>
        <v>0</v>
      </c>
      <c r="DR86" s="1008"/>
      <c r="DS86" s="1008">
        <f t="shared" si="88"/>
        <v>0</v>
      </c>
      <c r="DT86" s="1008">
        <f t="shared" si="88"/>
        <v>0</v>
      </c>
      <c r="DU86" s="1008"/>
      <c r="DV86" s="1008">
        <f t="shared" si="89"/>
        <v>0</v>
      </c>
      <c r="DW86" s="1008">
        <f t="shared" si="89"/>
        <v>0</v>
      </c>
      <c r="DX86" s="1008">
        <f t="shared" si="89"/>
        <v>0</v>
      </c>
      <c r="DY86" s="1008">
        <f t="shared" si="90"/>
        <v>0</v>
      </c>
      <c r="DZ86" s="1008">
        <f t="shared" si="90"/>
        <v>0</v>
      </c>
      <c r="EA86" s="1008">
        <f t="shared" si="90"/>
        <v>0</v>
      </c>
      <c r="EB86" s="1008">
        <f t="shared" si="90"/>
        <v>0</v>
      </c>
      <c r="EC86" s="1008"/>
      <c r="ED86" s="1008">
        <f t="shared" si="91"/>
        <v>18651115</v>
      </c>
    </row>
    <row r="87" spans="1:134" ht="36" customHeight="1" x14ac:dyDescent="0.25">
      <c r="A87" s="1565"/>
      <c r="B87" s="1019"/>
      <c r="C87" s="1094" t="s">
        <v>4424</v>
      </c>
      <c r="D87" s="1019" t="s">
        <v>4358</v>
      </c>
      <c r="E87" s="1020">
        <v>520</v>
      </c>
      <c r="F87" s="1097" t="s">
        <v>3350</v>
      </c>
      <c r="G87" s="1400"/>
      <c r="H87" s="1061">
        <f t="shared" si="70"/>
        <v>151633574</v>
      </c>
      <c r="I87" s="1061">
        <f t="shared" si="71"/>
        <v>459230861</v>
      </c>
      <c r="J87" s="1399" t="s">
        <v>4869</v>
      </c>
      <c r="K87" s="1283" t="s">
        <v>4876</v>
      </c>
      <c r="L87" s="1283" t="s">
        <v>4882</v>
      </c>
      <c r="M87" s="1093">
        <v>0</v>
      </c>
      <c r="N87" s="1093">
        <v>8</v>
      </c>
      <c r="O87" s="1093">
        <v>0</v>
      </c>
      <c r="P87" s="1093">
        <v>0</v>
      </c>
      <c r="Q87" s="1093">
        <v>0</v>
      </c>
      <c r="R87" s="1093">
        <v>0</v>
      </c>
      <c r="S87" s="1097"/>
      <c r="T87" s="1097"/>
      <c r="U87" s="1097"/>
      <c r="V87" s="1097"/>
      <c r="W87" s="1097"/>
      <c r="X87" s="1097"/>
      <c r="Y87" s="1008">
        <f t="shared" si="72"/>
        <v>610864435</v>
      </c>
      <c r="Z87" s="944"/>
      <c r="AA87" s="944"/>
      <c r="AB87" s="944"/>
      <c r="AC87" s="944"/>
      <c r="AD87" s="944"/>
      <c r="AE87" s="944"/>
      <c r="AF87" s="1008"/>
      <c r="AG87" s="1008"/>
      <c r="AH87" s="1008"/>
      <c r="AI87" s="1008"/>
      <c r="AJ87" s="1008"/>
      <c r="AK87" s="1008"/>
      <c r="AL87" s="1008">
        <f>450000000+160864435</f>
        <v>610864435</v>
      </c>
      <c r="AM87" s="1008"/>
      <c r="AN87" s="1008"/>
      <c r="AO87" s="1008"/>
      <c r="AP87" s="1008"/>
      <c r="AQ87" s="1008"/>
      <c r="AR87" s="1008"/>
      <c r="AS87" s="1008"/>
      <c r="AT87" s="203"/>
      <c r="AU87" s="1011">
        <f t="shared" si="73"/>
        <v>0.40051566596768723</v>
      </c>
      <c r="AV87" s="1008">
        <f t="shared" si="74"/>
        <v>244660776</v>
      </c>
      <c r="AW87" s="1008"/>
      <c r="AX87" s="1008"/>
      <c r="AY87" s="1008"/>
      <c r="AZ87" s="1008"/>
      <c r="BA87" s="1008"/>
      <c r="BB87" s="1008"/>
      <c r="BC87" s="1008"/>
      <c r="BD87" s="1008"/>
      <c r="BE87" s="1008"/>
      <c r="BF87" s="1008"/>
      <c r="BG87" s="1008"/>
      <c r="BH87" s="1008"/>
      <c r="BI87" s="1008">
        <f>+'[18]OCTUBRE 2015'!$V$4087</f>
        <v>244660776</v>
      </c>
      <c r="BJ87" s="1008"/>
      <c r="BK87" s="1008"/>
      <c r="BL87" s="1008"/>
      <c r="BM87" s="1008"/>
      <c r="BN87" s="1008"/>
      <c r="BO87" s="1008"/>
      <c r="BP87" s="1008"/>
      <c r="BQ87" s="1011">
        <f t="shared" si="25"/>
        <v>0.59948433403231283</v>
      </c>
      <c r="BR87" s="1008">
        <f t="shared" si="75"/>
        <v>366203659</v>
      </c>
      <c r="BS87" s="1008">
        <f t="shared" si="76"/>
        <v>0</v>
      </c>
      <c r="BT87" s="1008">
        <f t="shared" si="77"/>
        <v>0</v>
      </c>
      <c r="BU87" s="1008"/>
      <c r="BV87" s="1008">
        <f t="shared" si="78"/>
        <v>0</v>
      </c>
      <c r="BW87" s="1008"/>
      <c r="BX87" s="1008">
        <f t="shared" si="79"/>
        <v>0</v>
      </c>
      <c r="BY87" s="1008">
        <f t="shared" si="79"/>
        <v>0</v>
      </c>
      <c r="BZ87" s="1008"/>
      <c r="CA87" s="1008">
        <f t="shared" si="92"/>
        <v>0</v>
      </c>
      <c r="CB87" s="1008">
        <f t="shared" si="92"/>
        <v>0</v>
      </c>
      <c r="CC87" s="1008"/>
      <c r="CD87" s="1008">
        <f t="shared" si="93"/>
        <v>0</v>
      </c>
      <c r="CE87" s="1008">
        <f t="shared" si="93"/>
        <v>366203659</v>
      </c>
      <c r="CF87" s="1008">
        <f t="shared" si="93"/>
        <v>0</v>
      </c>
      <c r="CG87" s="1008">
        <f t="shared" si="93"/>
        <v>0</v>
      </c>
      <c r="CH87" s="1008">
        <f t="shared" si="93"/>
        <v>0</v>
      </c>
      <c r="CI87" s="1008">
        <f t="shared" si="93"/>
        <v>0</v>
      </c>
      <c r="CJ87" s="1008"/>
      <c r="CK87" s="1008"/>
      <c r="CL87" s="1008">
        <f t="shared" si="81"/>
        <v>0</v>
      </c>
      <c r="CM87" s="1011">
        <f t="shared" si="82"/>
        <v>0.24822786417415182</v>
      </c>
      <c r="CN87" s="1008">
        <f t="shared" si="83"/>
        <v>151633574</v>
      </c>
      <c r="CO87" s="1008"/>
      <c r="CP87" s="1008"/>
      <c r="CQ87" s="1008"/>
      <c r="CR87" s="1008"/>
      <c r="CS87" s="1008"/>
      <c r="CT87" s="1008"/>
      <c r="CU87" s="1008"/>
      <c r="CV87" s="1008"/>
      <c r="CW87" s="1008"/>
      <c r="CX87" s="1008"/>
      <c r="CY87" s="1008"/>
      <c r="CZ87" s="1008"/>
      <c r="DA87" s="1008">
        <f>+'[18]OCTUBRE 2015'!$H$4085</f>
        <v>151633574</v>
      </c>
      <c r="DB87" s="1008"/>
      <c r="DC87" s="1008"/>
      <c r="DD87" s="1008"/>
      <c r="DE87" s="1008"/>
      <c r="DF87" s="1008"/>
      <c r="DG87" s="1008"/>
      <c r="DH87" s="1008"/>
      <c r="DI87" s="1011">
        <f t="shared" si="84"/>
        <v>0.75177213582584823</v>
      </c>
      <c r="DJ87" s="1008">
        <f t="shared" si="85"/>
        <v>459230861</v>
      </c>
      <c r="DK87" s="1008"/>
      <c r="DL87" s="1008"/>
      <c r="DM87" s="1008"/>
      <c r="DN87" s="1008">
        <f t="shared" si="86"/>
        <v>0</v>
      </c>
      <c r="DO87" s="1008"/>
      <c r="DP87" s="1008">
        <f t="shared" si="87"/>
        <v>0</v>
      </c>
      <c r="DQ87" s="1008">
        <f t="shared" si="87"/>
        <v>0</v>
      </c>
      <c r="DR87" s="1008"/>
      <c r="DS87" s="1008">
        <f t="shared" si="88"/>
        <v>0</v>
      </c>
      <c r="DT87" s="1008">
        <f t="shared" si="88"/>
        <v>0</v>
      </c>
      <c r="DU87" s="1008"/>
      <c r="DV87" s="1008">
        <f t="shared" si="89"/>
        <v>0</v>
      </c>
      <c r="DW87" s="1008">
        <f t="shared" si="89"/>
        <v>459230861</v>
      </c>
      <c r="DX87" s="1008">
        <f t="shared" si="89"/>
        <v>0</v>
      </c>
      <c r="DY87" s="1008">
        <f t="shared" si="90"/>
        <v>0</v>
      </c>
      <c r="DZ87" s="1008">
        <f t="shared" si="90"/>
        <v>0</v>
      </c>
      <c r="EA87" s="1008">
        <f t="shared" si="90"/>
        <v>0</v>
      </c>
      <c r="EB87" s="1008">
        <f t="shared" si="90"/>
        <v>0</v>
      </c>
      <c r="EC87" s="1008"/>
      <c r="ED87" s="1008">
        <f t="shared" si="91"/>
        <v>0</v>
      </c>
    </row>
    <row r="88" spans="1:134" ht="33" customHeight="1" x14ac:dyDescent="0.25">
      <c r="A88" s="1565"/>
      <c r="B88" s="1019"/>
      <c r="C88" s="1094" t="s">
        <v>4425</v>
      </c>
      <c r="D88" s="1019" t="s">
        <v>4618</v>
      </c>
      <c r="E88" s="1020">
        <v>520</v>
      </c>
      <c r="F88" s="1097" t="s">
        <v>3350</v>
      </c>
      <c r="G88" s="1401"/>
      <c r="H88" s="1061">
        <f t="shared" si="70"/>
        <v>0</v>
      </c>
      <c r="I88" s="1061">
        <f t="shared" si="71"/>
        <v>23014856</v>
      </c>
      <c r="J88" s="1401"/>
      <c r="K88" s="1284"/>
      <c r="L88" s="1284"/>
      <c r="M88" s="1093">
        <v>0</v>
      </c>
      <c r="N88" s="1093">
        <v>0</v>
      </c>
      <c r="O88" s="1093">
        <v>0</v>
      </c>
      <c r="P88" s="1093">
        <v>0</v>
      </c>
      <c r="Q88" s="1093">
        <v>40</v>
      </c>
      <c r="R88" s="1093">
        <v>0</v>
      </c>
      <c r="S88" s="1097"/>
      <c r="T88" s="1097"/>
      <c r="U88" s="1097"/>
      <c r="V88" s="1097"/>
      <c r="W88" s="1097"/>
      <c r="X88" s="1097"/>
      <c r="Y88" s="1008">
        <f t="shared" si="72"/>
        <v>23014856</v>
      </c>
      <c r="Z88" s="944"/>
      <c r="AA88" s="1017">
        <f>23014856-23014856</f>
        <v>0</v>
      </c>
      <c r="AB88" s="1017"/>
      <c r="AC88" s="944"/>
      <c r="AD88" s="944"/>
      <c r="AE88" s="944"/>
      <c r="AF88" s="1008">
        <v>23014856</v>
      </c>
      <c r="AG88" s="1008"/>
      <c r="AH88" s="1008"/>
      <c r="AI88" s="1008"/>
      <c r="AJ88" s="1008"/>
      <c r="AK88" s="1008"/>
      <c r="AL88" s="1008"/>
      <c r="AM88" s="1008"/>
      <c r="AN88" s="1008"/>
      <c r="AO88" s="1008"/>
      <c r="AP88" s="1008"/>
      <c r="AQ88" s="1008"/>
      <c r="AR88" s="1008"/>
      <c r="AS88" s="1008"/>
      <c r="AT88" s="203"/>
      <c r="AU88" s="1011">
        <f t="shared" si="73"/>
        <v>0</v>
      </c>
      <c r="AV88" s="1008">
        <f t="shared" si="74"/>
        <v>0</v>
      </c>
      <c r="AW88" s="1008"/>
      <c r="AX88" s="1008"/>
      <c r="AY88" s="1008"/>
      <c r="AZ88" s="1008"/>
      <c r="BA88" s="1008"/>
      <c r="BB88" s="1008"/>
      <c r="BC88" s="1008"/>
      <c r="BD88" s="1008"/>
      <c r="BE88" s="1008"/>
      <c r="BF88" s="1008"/>
      <c r="BG88" s="1008"/>
      <c r="BH88" s="1008"/>
      <c r="BI88" s="1008"/>
      <c r="BJ88" s="1008"/>
      <c r="BK88" s="1008"/>
      <c r="BL88" s="1008"/>
      <c r="BM88" s="1008"/>
      <c r="BN88" s="1008"/>
      <c r="BO88" s="1008"/>
      <c r="BP88" s="1008"/>
      <c r="BQ88" s="1011">
        <f t="shared" ref="BQ88:BQ104" si="94">1-AU88</f>
        <v>1</v>
      </c>
      <c r="BR88" s="1008">
        <f t="shared" si="75"/>
        <v>23014856</v>
      </c>
      <c r="BS88" s="1008">
        <f t="shared" si="76"/>
        <v>0</v>
      </c>
      <c r="BT88" s="1008">
        <f t="shared" si="77"/>
        <v>0</v>
      </c>
      <c r="BU88" s="1008"/>
      <c r="BV88" s="1008">
        <f t="shared" si="78"/>
        <v>0</v>
      </c>
      <c r="BW88" s="1008"/>
      <c r="BX88" s="1008">
        <f t="shared" si="79"/>
        <v>0</v>
      </c>
      <c r="BY88" s="1008">
        <f t="shared" si="79"/>
        <v>23014856</v>
      </c>
      <c r="BZ88" s="1008"/>
      <c r="CA88" s="1008">
        <f t="shared" si="92"/>
        <v>0</v>
      </c>
      <c r="CB88" s="1008">
        <f t="shared" si="92"/>
        <v>0</v>
      </c>
      <c r="CC88" s="1008"/>
      <c r="CD88" s="1008">
        <f t="shared" si="93"/>
        <v>0</v>
      </c>
      <c r="CE88" s="1008">
        <f t="shared" si="93"/>
        <v>0</v>
      </c>
      <c r="CF88" s="1008">
        <f t="shared" si="93"/>
        <v>0</v>
      </c>
      <c r="CG88" s="1008">
        <f t="shared" si="93"/>
        <v>0</v>
      </c>
      <c r="CH88" s="1008">
        <f t="shared" si="93"/>
        <v>0</v>
      </c>
      <c r="CI88" s="1008">
        <f t="shared" si="93"/>
        <v>0</v>
      </c>
      <c r="CJ88" s="1008"/>
      <c r="CK88" s="1008"/>
      <c r="CL88" s="1008">
        <f t="shared" si="81"/>
        <v>0</v>
      </c>
      <c r="CM88" s="1011">
        <f t="shared" si="82"/>
        <v>0</v>
      </c>
      <c r="CN88" s="1008">
        <f t="shared" si="83"/>
        <v>0</v>
      </c>
      <c r="CO88" s="1008"/>
      <c r="CP88" s="1008"/>
      <c r="CQ88" s="1008"/>
      <c r="CR88" s="1008"/>
      <c r="CS88" s="1008"/>
      <c r="CT88" s="1008"/>
      <c r="CU88" s="1008"/>
      <c r="CV88" s="1008"/>
      <c r="CW88" s="1008"/>
      <c r="CX88" s="1008"/>
      <c r="CY88" s="1008"/>
      <c r="CZ88" s="1008"/>
      <c r="DA88" s="1008"/>
      <c r="DB88" s="1008"/>
      <c r="DC88" s="1008"/>
      <c r="DD88" s="1008"/>
      <c r="DE88" s="1008"/>
      <c r="DF88" s="1008"/>
      <c r="DG88" s="1008"/>
      <c r="DH88" s="1008"/>
      <c r="DI88" s="1011">
        <f t="shared" si="84"/>
        <v>1</v>
      </c>
      <c r="DJ88" s="1008">
        <f t="shared" si="85"/>
        <v>23014856</v>
      </c>
      <c r="DK88" s="1008"/>
      <c r="DL88" s="1008">
        <f>AA88-CP88</f>
        <v>0</v>
      </c>
      <c r="DM88" s="1008">
        <f>AB88-CQ88</f>
        <v>0</v>
      </c>
      <c r="DN88" s="1008">
        <f t="shared" si="86"/>
        <v>0</v>
      </c>
      <c r="DO88" s="1008"/>
      <c r="DP88" s="1008">
        <f t="shared" si="87"/>
        <v>0</v>
      </c>
      <c r="DQ88" s="1008">
        <f t="shared" si="87"/>
        <v>23014856</v>
      </c>
      <c r="DR88" s="1008"/>
      <c r="DS88" s="1008">
        <f t="shared" si="88"/>
        <v>0</v>
      </c>
      <c r="DT88" s="1008">
        <f t="shared" si="88"/>
        <v>0</v>
      </c>
      <c r="DU88" s="1008"/>
      <c r="DV88" s="1008">
        <f t="shared" si="89"/>
        <v>0</v>
      </c>
      <c r="DW88" s="1008">
        <f t="shared" si="89"/>
        <v>0</v>
      </c>
      <c r="DX88" s="1008">
        <f t="shared" si="89"/>
        <v>0</v>
      </c>
      <c r="DY88" s="1008">
        <f t="shared" si="90"/>
        <v>0</v>
      </c>
      <c r="DZ88" s="1008">
        <f t="shared" si="90"/>
        <v>0</v>
      </c>
      <c r="EA88" s="1008">
        <f t="shared" si="90"/>
        <v>0</v>
      </c>
      <c r="EB88" s="1008">
        <f t="shared" si="90"/>
        <v>0</v>
      </c>
      <c r="EC88" s="1008"/>
      <c r="ED88" s="1008">
        <f t="shared" si="91"/>
        <v>0</v>
      </c>
    </row>
    <row r="89" spans="1:134" ht="54.75" customHeight="1" x14ac:dyDescent="0.25">
      <c r="A89" s="1565"/>
      <c r="B89" s="1019" t="s">
        <v>4359</v>
      </c>
      <c r="C89" s="1094" t="s">
        <v>4426</v>
      </c>
      <c r="D89" s="1019" t="s">
        <v>4725</v>
      </c>
      <c r="E89" s="1020">
        <v>520</v>
      </c>
      <c r="F89" s="1097" t="s">
        <v>4360</v>
      </c>
      <c r="G89" s="1399">
        <v>150000000</v>
      </c>
      <c r="H89" s="1061">
        <f t="shared" si="70"/>
        <v>0</v>
      </c>
      <c r="I89" s="1061">
        <f t="shared" si="71"/>
        <v>40000000</v>
      </c>
      <c r="J89" s="1399" t="s">
        <v>4771</v>
      </c>
      <c r="K89" s="1283" t="s">
        <v>4883</v>
      </c>
      <c r="L89" s="1283" t="s">
        <v>4884</v>
      </c>
      <c r="M89" s="1093">
        <v>0</v>
      </c>
      <c r="N89" s="1093">
        <v>0</v>
      </c>
      <c r="O89" s="1093">
        <v>0</v>
      </c>
      <c r="P89" s="1093">
        <v>0</v>
      </c>
      <c r="Q89" s="1093">
        <v>0</v>
      </c>
      <c r="R89" s="1093">
        <v>0</v>
      </c>
      <c r="S89" s="1097"/>
      <c r="T89" s="1097"/>
      <c r="U89" s="1097"/>
      <c r="V89" s="1097"/>
      <c r="W89" s="1097"/>
      <c r="X89" s="1097"/>
      <c r="Y89" s="1008">
        <f t="shared" si="72"/>
        <v>40000000</v>
      </c>
      <c r="Z89" s="944"/>
      <c r="AA89" s="944"/>
      <c r="AB89" s="944"/>
      <c r="AC89" s="1008">
        <f>10000000-10000000</f>
        <v>0</v>
      </c>
      <c r="AD89" s="1008"/>
      <c r="AE89" s="1008">
        <v>30000000</v>
      </c>
      <c r="AF89" s="1008"/>
      <c r="AG89" s="1008"/>
      <c r="AH89" s="1008"/>
      <c r="AI89" s="1008"/>
      <c r="AJ89" s="1008"/>
      <c r="AK89" s="1008"/>
      <c r="AL89" s="1008"/>
      <c r="AM89" s="1008"/>
      <c r="AN89" s="1008">
        <v>10000000</v>
      </c>
      <c r="AO89" s="1008"/>
      <c r="AP89" s="1008"/>
      <c r="AQ89" s="1008"/>
      <c r="AR89" s="1008"/>
      <c r="AS89" s="1008"/>
      <c r="AT89" s="203"/>
      <c r="AU89" s="1011">
        <f t="shared" si="73"/>
        <v>1</v>
      </c>
      <c r="AV89" s="1008">
        <f t="shared" si="74"/>
        <v>40000000</v>
      </c>
      <c r="AW89" s="1008"/>
      <c r="AX89" s="1008"/>
      <c r="AY89" s="1008"/>
      <c r="AZ89" s="1008"/>
      <c r="BA89" s="1008"/>
      <c r="BB89" s="1008">
        <f>+'[9]FEBRERO 2015'!$N$1172</f>
        <v>30000000</v>
      </c>
      <c r="BC89" s="1008"/>
      <c r="BD89" s="1008"/>
      <c r="BE89" s="1008"/>
      <c r="BF89" s="1008"/>
      <c r="BG89" s="1008"/>
      <c r="BH89" s="1008"/>
      <c r="BI89" s="1008"/>
      <c r="BJ89" s="1008"/>
      <c r="BK89" s="1008">
        <f>+'[8]FEBRERO 2015'!$W$1245</f>
        <v>10000000</v>
      </c>
      <c r="BL89" s="1008"/>
      <c r="BM89" s="1008"/>
      <c r="BN89" s="1008"/>
      <c r="BO89" s="1008"/>
      <c r="BP89" s="1008"/>
      <c r="BQ89" s="1011">
        <f t="shared" si="94"/>
        <v>0</v>
      </c>
      <c r="BR89" s="1008">
        <f t="shared" si="75"/>
        <v>0</v>
      </c>
      <c r="BS89" s="1008">
        <f t="shared" si="76"/>
        <v>0</v>
      </c>
      <c r="BT89" s="1008">
        <f t="shared" si="77"/>
        <v>0</v>
      </c>
      <c r="BU89" s="1008"/>
      <c r="BV89" s="1008">
        <f t="shared" si="78"/>
        <v>0</v>
      </c>
      <c r="BW89" s="1008"/>
      <c r="BX89" s="1008">
        <f t="shared" si="79"/>
        <v>0</v>
      </c>
      <c r="BY89" s="1008">
        <f t="shared" si="79"/>
        <v>0</v>
      </c>
      <c r="BZ89" s="1008"/>
      <c r="CA89" s="1008">
        <f t="shared" si="92"/>
        <v>0</v>
      </c>
      <c r="CB89" s="1008">
        <f t="shared" si="92"/>
        <v>0</v>
      </c>
      <c r="CC89" s="1008"/>
      <c r="CD89" s="1008">
        <f t="shared" si="93"/>
        <v>0</v>
      </c>
      <c r="CE89" s="1008">
        <f t="shared" si="93"/>
        <v>0</v>
      </c>
      <c r="CF89" s="1008">
        <f t="shared" si="93"/>
        <v>0</v>
      </c>
      <c r="CG89" s="1008">
        <f t="shared" si="93"/>
        <v>0</v>
      </c>
      <c r="CH89" s="1008">
        <f t="shared" si="93"/>
        <v>0</v>
      </c>
      <c r="CI89" s="1008">
        <f t="shared" si="93"/>
        <v>0</v>
      </c>
      <c r="CJ89" s="1008"/>
      <c r="CK89" s="1008"/>
      <c r="CL89" s="1008">
        <f t="shared" si="81"/>
        <v>0</v>
      </c>
      <c r="CM89" s="1011">
        <f t="shared" si="82"/>
        <v>0</v>
      </c>
      <c r="CN89" s="1008">
        <f t="shared" si="83"/>
        <v>0</v>
      </c>
      <c r="CO89" s="1008"/>
      <c r="CP89" s="1008"/>
      <c r="CQ89" s="1008"/>
      <c r="CR89" s="1008"/>
      <c r="CS89" s="1008"/>
      <c r="CT89" s="1008"/>
      <c r="CU89" s="1008"/>
      <c r="CV89" s="1008"/>
      <c r="CW89" s="1008"/>
      <c r="CX89" s="1008"/>
      <c r="CY89" s="1008"/>
      <c r="CZ89" s="1008"/>
      <c r="DA89" s="1008"/>
      <c r="DB89" s="1008"/>
      <c r="DC89" s="1008"/>
      <c r="DD89" s="1008"/>
      <c r="DE89" s="1008"/>
      <c r="DF89" s="1008"/>
      <c r="DG89" s="1008"/>
      <c r="DH89" s="1008"/>
      <c r="DI89" s="1011">
        <f t="shared" si="84"/>
        <v>1</v>
      </c>
      <c r="DJ89" s="1008">
        <f t="shared" si="85"/>
        <v>40000000</v>
      </c>
      <c r="DK89" s="1008"/>
      <c r="DL89" s="1008"/>
      <c r="DM89" s="1008"/>
      <c r="DN89" s="1008">
        <f t="shared" si="86"/>
        <v>0</v>
      </c>
      <c r="DO89" s="1008"/>
      <c r="DP89" s="1008">
        <f t="shared" si="87"/>
        <v>30000000</v>
      </c>
      <c r="DQ89" s="1008">
        <f t="shared" si="87"/>
        <v>0</v>
      </c>
      <c r="DR89" s="1008"/>
      <c r="DS89" s="1008">
        <f t="shared" si="88"/>
        <v>0</v>
      </c>
      <c r="DT89" s="1008">
        <f t="shared" si="88"/>
        <v>0</v>
      </c>
      <c r="DU89" s="1008"/>
      <c r="DV89" s="1008">
        <f t="shared" si="89"/>
        <v>0</v>
      </c>
      <c r="DW89" s="1008">
        <f t="shared" si="89"/>
        <v>0</v>
      </c>
      <c r="DX89" s="1008">
        <f t="shared" si="89"/>
        <v>0</v>
      </c>
      <c r="DY89" s="1008">
        <f t="shared" si="90"/>
        <v>10000000</v>
      </c>
      <c r="DZ89" s="1008">
        <f t="shared" si="90"/>
        <v>0</v>
      </c>
      <c r="EA89" s="1008">
        <f t="shared" si="90"/>
        <v>0</v>
      </c>
      <c r="EB89" s="1008">
        <f t="shared" si="90"/>
        <v>0</v>
      </c>
      <c r="EC89" s="1008"/>
      <c r="ED89" s="1008">
        <f t="shared" si="91"/>
        <v>0</v>
      </c>
    </row>
    <row r="90" spans="1:134" ht="24" customHeight="1" x14ac:dyDescent="0.25">
      <c r="A90" s="1565"/>
      <c r="B90" s="1029"/>
      <c r="C90" s="1094" t="s">
        <v>4427</v>
      </c>
      <c r="D90" s="1019" t="s">
        <v>4619</v>
      </c>
      <c r="E90" s="1020">
        <v>520</v>
      </c>
      <c r="F90" s="1097" t="s">
        <v>3350</v>
      </c>
      <c r="G90" s="1400"/>
      <c r="H90" s="1061">
        <f t="shared" si="70"/>
        <v>48739200</v>
      </c>
      <c r="I90" s="1061">
        <f t="shared" si="71"/>
        <v>1260800</v>
      </c>
      <c r="J90" s="1400"/>
      <c r="K90" s="1573"/>
      <c r="L90" s="1573"/>
      <c r="M90" s="1093">
        <v>0</v>
      </c>
      <c r="N90" s="1093">
        <v>0</v>
      </c>
      <c r="O90" s="1093">
        <v>0</v>
      </c>
      <c r="P90" s="1093">
        <v>90</v>
      </c>
      <c r="Q90" s="1093">
        <v>80</v>
      </c>
      <c r="R90" s="1093">
        <v>72</v>
      </c>
      <c r="S90" s="1097"/>
      <c r="T90" s="1097"/>
      <c r="U90" s="1097"/>
      <c r="V90" s="1097"/>
      <c r="W90" s="1097"/>
      <c r="X90" s="1097"/>
      <c r="Y90" s="1008">
        <f t="shared" si="72"/>
        <v>50000000</v>
      </c>
      <c r="Z90" s="944"/>
      <c r="AA90" s="944"/>
      <c r="AB90" s="944"/>
      <c r="AC90" s="1008">
        <v>40000000</v>
      </c>
      <c r="AD90" s="1008"/>
      <c r="AE90" s="1008"/>
      <c r="AF90" s="1008"/>
      <c r="AG90" s="1008"/>
      <c r="AH90" s="1008"/>
      <c r="AI90" s="1008"/>
      <c r="AJ90" s="1008"/>
      <c r="AK90" s="1008"/>
      <c r="AL90" s="1008"/>
      <c r="AM90" s="1008"/>
      <c r="AN90" s="1008">
        <v>10000000</v>
      </c>
      <c r="AO90" s="1008"/>
      <c r="AP90" s="1008"/>
      <c r="AQ90" s="1008"/>
      <c r="AR90" s="1008"/>
      <c r="AS90" s="1008"/>
      <c r="AT90" s="203"/>
      <c r="AU90" s="1011">
        <f t="shared" si="73"/>
        <v>1</v>
      </c>
      <c r="AV90" s="1008">
        <f t="shared" si="74"/>
        <v>50000000</v>
      </c>
      <c r="AW90" s="1008"/>
      <c r="AX90" s="1008"/>
      <c r="AY90" s="1008"/>
      <c r="AZ90" s="1008">
        <f>+'[11]ABRIL 2015'!$L$1730</f>
        <v>40000000</v>
      </c>
      <c r="BA90" s="1008"/>
      <c r="BB90" s="1008"/>
      <c r="BC90" s="1008"/>
      <c r="BD90" s="1008"/>
      <c r="BE90" s="1008"/>
      <c r="BF90" s="1008"/>
      <c r="BG90" s="1008"/>
      <c r="BH90" s="1008"/>
      <c r="BI90" s="1008"/>
      <c r="BJ90" s="1008"/>
      <c r="BK90" s="1008">
        <f>+'[14]JUNIO 2015'!$X$2249</f>
        <v>10000000</v>
      </c>
      <c r="BL90" s="1008"/>
      <c r="BM90" s="1008"/>
      <c r="BN90" s="1008"/>
      <c r="BO90" s="1008"/>
      <c r="BP90" s="1008"/>
      <c r="BQ90" s="1011">
        <f t="shared" si="94"/>
        <v>0</v>
      </c>
      <c r="BR90" s="1008">
        <f t="shared" si="75"/>
        <v>0</v>
      </c>
      <c r="BS90" s="1008">
        <f t="shared" si="76"/>
        <v>0</v>
      </c>
      <c r="BT90" s="1008">
        <f t="shared" si="77"/>
        <v>0</v>
      </c>
      <c r="BU90" s="1008"/>
      <c r="BV90" s="1008">
        <f t="shared" si="78"/>
        <v>0</v>
      </c>
      <c r="BW90" s="1008"/>
      <c r="BX90" s="1008">
        <f t="shared" si="79"/>
        <v>0</v>
      </c>
      <c r="BY90" s="1008">
        <f t="shared" si="79"/>
        <v>0</v>
      </c>
      <c r="BZ90" s="1008"/>
      <c r="CA90" s="1008">
        <f t="shared" si="92"/>
        <v>0</v>
      </c>
      <c r="CB90" s="1008">
        <f t="shared" si="92"/>
        <v>0</v>
      </c>
      <c r="CC90" s="1008"/>
      <c r="CD90" s="1008">
        <f t="shared" si="93"/>
        <v>0</v>
      </c>
      <c r="CE90" s="1008">
        <f t="shared" si="93"/>
        <v>0</v>
      </c>
      <c r="CF90" s="1008">
        <f t="shared" si="93"/>
        <v>0</v>
      </c>
      <c r="CG90" s="1008">
        <f t="shared" si="93"/>
        <v>0</v>
      </c>
      <c r="CH90" s="1008">
        <f t="shared" si="93"/>
        <v>0</v>
      </c>
      <c r="CI90" s="1008">
        <f t="shared" si="93"/>
        <v>0</v>
      </c>
      <c r="CJ90" s="1008"/>
      <c r="CK90" s="1008"/>
      <c r="CL90" s="1008">
        <f t="shared" si="81"/>
        <v>0</v>
      </c>
      <c r="CM90" s="1011">
        <f t="shared" si="82"/>
        <v>0.97478399999999998</v>
      </c>
      <c r="CN90" s="1008">
        <f t="shared" si="83"/>
        <v>48739200</v>
      </c>
      <c r="CO90" s="1008"/>
      <c r="CP90" s="1008"/>
      <c r="CQ90" s="1008"/>
      <c r="CR90" s="1008">
        <f>+'[14]JUNIO 2015'!$H$2252</f>
        <v>40000000</v>
      </c>
      <c r="CS90" s="1008"/>
      <c r="CT90" s="1008"/>
      <c r="CU90" s="1008"/>
      <c r="CV90" s="1008"/>
      <c r="CW90" s="1008"/>
      <c r="CX90" s="1008"/>
      <c r="CY90" s="1008"/>
      <c r="CZ90" s="1008"/>
      <c r="DA90" s="1008"/>
      <c r="DB90" s="1008"/>
      <c r="DC90" s="1008">
        <f>+'[15]JULIO 2015'!$H$2631</f>
        <v>8739200</v>
      </c>
      <c r="DD90" s="1008"/>
      <c r="DE90" s="1008"/>
      <c r="DF90" s="1008"/>
      <c r="DG90" s="1008"/>
      <c r="DH90" s="1008"/>
      <c r="DI90" s="1011">
        <f t="shared" si="84"/>
        <v>2.5216000000000016E-2</v>
      </c>
      <c r="DJ90" s="1008">
        <f t="shared" si="85"/>
        <v>1260800</v>
      </c>
      <c r="DK90" s="1008"/>
      <c r="DL90" s="1008"/>
      <c r="DM90" s="1008"/>
      <c r="DN90" s="1008">
        <f t="shared" si="86"/>
        <v>0</v>
      </c>
      <c r="DO90" s="1008"/>
      <c r="DP90" s="1008">
        <f t="shared" si="87"/>
        <v>0</v>
      </c>
      <c r="DQ90" s="1008">
        <f t="shared" si="87"/>
        <v>0</v>
      </c>
      <c r="DR90" s="1008"/>
      <c r="DS90" s="1008">
        <f t="shared" si="88"/>
        <v>0</v>
      </c>
      <c r="DT90" s="1008">
        <f t="shared" si="88"/>
        <v>0</v>
      </c>
      <c r="DU90" s="1008"/>
      <c r="DV90" s="1008">
        <f t="shared" si="89"/>
        <v>0</v>
      </c>
      <c r="DW90" s="1008">
        <f t="shared" si="89"/>
        <v>0</v>
      </c>
      <c r="DX90" s="1008">
        <f t="shared" si="89"/>
        <v>0</v>
      </c>
      <c r="DY90" s="1008">
        <f t="shared" si="90"/>
        <v>1260800</v>
      </c>
      <c r="DZ90" s="1008">
        <f t="shared" si="90"/>
        <v>0</v>
      </c>
      <c r="EA90" s="1008">
        <f t="shared" si="90"/>
        <v>0</v>
      </c>
      <c r="EB90" s="1008">
        <f t="shared" si="90"/>
        <v>0</v>
      </c>
      <c r="EC90" s="1008"/>
      <c r="ED90" s="1008">
        <f t="shared" si="91"/>
        <v>0</v>
      </c>
    </row>
    <row r="91" spans="1:134" ht="31.5" customHeight="1" x14ac:dyDescent="0.25">
      <c r="A91" s="1565"/>
      <c r="B91" s="1029"/>
      <c r="C91" s="1094" t="s">
        <v>4428</v>
      </c>
      <c r="D91" s="1019" t="s">
        <v>4620</v>
      </c>
      <c r="E91" s="1020">
        <v>520</v>
      </c>
      <c r="F91" s="1097" t="s">
        <v>3350</v>
      </c>
      <c r="G91" s="1400"/>
      <c r="H91" s="1061">
        <f t="shared" si="70"/>
        <v>20000000</v>
      </c>
      <c r="I91" s="1061">
        <f t="shared" si="71"/>
        <v>0</v>
      </c>
      <c r="J91" s="1400"/>
      <c r="K91" s="1573"/>
      <c r="L91" s="1573"/>
      <c r="M91" s="1093">
        <v>100</v>
      </c>
      <c r="N91" s="1093">
        <v>100</v>
      </c>
      <c r="O91" s="1093">
        <v>100</v>
      </c>
      <c r="P91" s="1093">
        <v>100</v>
      </c>
      <c r="Q91" s="1093">
        <v>100</v>
      </c>
      <c r="R91" s="1093">
        <v>100</v>
      </c>
      <c r="S91" s="1097"/>
      <c r="T91" s="1097"/>
      <c r="U91" s="1097"/>
      <c r="V91" s="1097"/>
      <c r="W91" s="1097"/>
      <c r="X91" s="1097"/>
      <c r="Y91" s="1008">
        <f t="shared" si="72"/>
        <v>20000000</v>
      </c>
      <c r="Z91" s="944"/>
      <c r="AA91" s="944"/>
      <c r="AB91" s="944"/>
      <c r="AC91" s="1008"/>
      <c r="AD91" s="1008"/>
      <c r="AE91" s="1008"/>
      <c r="AF91" s="1008">
        <f>30000000-10000000</f>
        <v>20000000</v>
      </c>
      <c r="AG91" s="1008"/>
      <c r="AH91" s="1008"/>
      <c r="AI91" s="1008"/>
      <c r="AJ91" s="1008"/>
      <c r="AK91" s="1008"/>
      <c r="AL91" s="1008"/>
      <c r="AM91" s="1008"/>
      <c r="AN91" s="1008"/>
      <c r="AO91" s="1008"/>
      <c r="AP91" s="1008"/>
      <c r="AQ91" s="1008"/>
      <c r="AR91" s="1008"/>
      <c r="AS91" s="1008"/>
      <c r="AT91" s="203"/>
      <c r="AU91" s="1011">
        <f t="shared" si="73"/>
        <v>1</v>
      </c>
      <c r="AV91" s="1008">
        <f t="shared" si="74"/>
        <v>20000000</v>
      </c>
      <c r="AW91" s="1008"/>
      <c r="AX91" s="1008"/>
      <c r="AY91" s="1008"/>
      <c r="AZ91" s="1008"/>
      <c r="BA91" s="1008"/>
      <c r="BB91" s="1008"/>
      <c r="BC91" s="1008">
        <f>+'[10]MARZO 2015'!$O$1462</f>
        <v>20000000</v>
      </c>
      <c r="BD91" s="1008"/>
      <c r="BE91" s="1008"/>
      <c r="BF91" s="1008"/>
      <c r="BG91" s="1008"/>
      <c r="BH91" s="1008"/>
      <c r="BI91" s="1008"/>
      <c r="BJ91" s="1008"/>
      <c r="BK91" s="1008"/>
      <c r="BL91" s="1008"/>
      <c r="BM91" s="1008"/>
      <c r="BN91" s="1008"/>
      <c r="BO91" s="1008"/>
      <c r="BP91" s="1008"/>
      <c r="BQ91" s="1011">
        <f t="shared" si="94"/>
        <v>0</v>
      </c>
      <c r="BR91" s="1008">
        <f t="shared" si="75"/>
        <v>0</v>
      </c>
      <c r="BS91" s="1008">
        <f t="shared" si="76"/>
        <v>0</v>
      </c>
      <c r="BT91" s="1008">
        <f t="shared" si="77"/>
        <v>0</v>
      </c>
      <c r="BU91" s="1008"/>
      <c r="BV91" s="1008">
        <f t="shared" si="78"/>
        <v>0</v>
      </c>
      <c r="BW91" s="1008"/>
      <c r="BX91" s="1008">
        <f t="shared" si="79"/>
        <v>0</v>
      </c>
      <c r="BY91" s="1008">
        <f t="shared" si="79"/>
        <v>0</v>
      </c>
      <c r="BZ91" s="1008"/>
      <c r="CA91" s="1008">
        <f t="shared" si="92"/>
        <v>0</v>
      </c>
      <c r="CB91" s="1008">
        <f t="shared" si="92"/>
        <v>0</v>
      </c>
      <c r="CC91" s="1008"/>
      <c r="CD91" s="1008">
        <f t="shared" si="93"/>
        <v>0</v>
      </c>
      <c r="CE91" s="1008">
        <f t="shared" si="93"/>
        <v>0</v>
      </c>
      <c r="CF91" s="1008">
        <f t="shared" si="93"/>
        <v>0</v>
      </c>
      <c r="CG91" s="1008">
        <f t="shared" si="93"/>
        <v>0</v>
      </c>
      <c r="CH91" s="1008">
        <f t="shared" si="93"/>
        <v>0</v>
      </c>
      <c r="CI91" s="1008">
        <f t="shared" si="93"/>
        <v>0</v>
      </c>
      <c r="CJ91" s="1008"/>
      <c r="CK91" s="1008"/>
      <c r="CL91" s="1008">
        <f t="shared" si="81"/>
        <v>0</v>
      </c>
      <c r="CM91" s="1011">
        <f t="shared" si="82"/>
        <v>1</v>
      </c>
      <c r="CN91" s="1008">
        <f t="shared" si="83"/>
        <v>20000000</v>
      </c>
      <c r="CO91" s="1008"/>
      <c r="CP91" s="1008"/>
      <c r="CQ91" s="1008"/>
      <c r="CR91" s="1008"/>
      <c r="CS91" s="1008"/>
      <c r="CT91" s="1008"/>
      <c r="CU91" s="1008">
        <f>+'[10]MARZO 2015'!$O$1463</f>
        <v>20000000</v>
      </c>
      <c r="CV91" s="1008"/>
      <c r="CW91" s="1008"/>
      <c r="CX91" s="1008"/>
      <c r="CY91" s="1008"/>
      <c r="CZ91" s="1008"/>
      <c r="DA91" s="1008"/>
      <c r="DB91" s="1008"/>
      <c r="DC91" s="1008"/>
      <c r="DD91" s="1008"/>
      <c r="DE91" s="1008"/>
      <c r="DF91" s="1008"/>
      <c r="DG91" s="1008"/>
      <c r="DH91" s="1008"/>
      <c r="DI91" s="1011">
        <f t="shared" si="84"/>
        <v>0</v>
      </c>
      <c r="DJ91" s="1008">
        <f t="shared" si="85"/>
        <v>0</v>
      </c>
      <c r="DK91" s="1008"/>
      <c r="DL91" s="1008"/>
      <c r="DM91" s="1008"/>
      <c r="DN91" s="1008">
        <f t="shared" si="86"/>
        <v>0</v>
      </c>
      <c r="DO91" s="1008"/>
      <c r="DP91" s="1008">
        <f t="shared" si="87"/>
        <v>0</v>
      </c>
      <c r="DQ91" s="1008">
        <f t="shared" si="87"/>
        <v>0</v>
      </c>
      <c r="DR91" s="1008"/>
      <c r="DS91" s="1008">
        <f t="shared" si="88"/>
        <v>0</v>
      </c>
      <c r="DT91" s="1008">
        <f t="shared" si="88"/>
        <v>0</v>
      </c>
      <c r="DU91" s="1008"/>
      <c r="DV91" s="1008">
        <f t="shared" si="89"/>
        <v>0</v>
      </c>
      <c r="DW91" s="1008">
        <f t="shared" si="89"/>
        <v>0</v>
      </c>
      <c r="DX91" s="1008">
        <f t="shared" si="89"/>
        <v>0</v>
      </c>
      <c r="DY91" s="1008">
        <f t="shared" si="90"/>
        <v>0</v>
      </c>
      <c r="DZ91" s="1008">
        <f t="shared" si="90"/>
        <v>0</v>
      </c>
      <c r="EA91" s="1008">
        <f t="shared" si="90"/>
        <v>0</v>
      </c>
      <c r="EB91" s="1008">
        <f t="shared" si="90"/>
        <v>0</v>
      </c>
      <c r="EC91" s="1008"/>
      <c r="ED91" s="1008">
        <f t="shared" si="91"/>
        <v>0</v>
      </c>
    </row>
    <row r="92" spans="1:134" ht="30.75" customHeight="1" x14ac:dyDescent="0.25">
      <c r="A92" s="1565"/>
      <c r="B92" s="1029"/>
      <c r="C92" s="1094" t="s">
        <v>4429</v>
      </c>
      <c r="D92" s="1019" t="s">
        <v>4621</v>
      </c>
      <c r="E92" s="1020">
        <v>520</v>
      </c>
      <c r="F92" s="1097" t="s">
        <v>3350</v>
      </c>
      <c r="G92" s="1401"/>
      <c r="H92" s="1061">
        <f t="shared" si="70"/>
        <v>13269163</v>
      </c>
      <c r="I92" s="1061">
        <f t="shared" si="71"/>
        <v>26730837</v>
      </c>
      <c r="J92" s="1401"/>
      <c r="K92" s="1284"/>
      <c r="L92" s="1284"/>
      <c r="M92" s="1093">
        <v>0</v>
      </c>
      <c r="N92" s="1093">
        <v>0</v>
      </c>
      <c r="O92" s="1093">
        <v>0</v>
      </c>
      <c r="P92" s="1093">
        <v>22</v>
      </c>
      <c r="Q92" s="1093">
        <v>0</v>
      </c>
      <c r="R92" s="1093">
        <v>0</v>
      </c>
      <c r="S92" s="1097"/>
      <c r="T92" s="1097"/>
      <c r="U92" s="1097"/>
      <c r="V92" s="1097"/>
      <c r="W92" s="1097"/>
      <c r="X92" s="1097"/>
      <c r="Y92" s="1008">
        <f t="shared" si="72"/>
        <v>40000000</v>
      </c>
      <c r="Z92" s="944"/>
      <c r="AA92" s="944"/>
      <c r="AB92" s="944"/>
      <c r="AC92" s="1008">
        <v>10000000</v>
      </c>
      <c r="AD92" s="1008"/>
      <c r="AE92" s="1008">
        <v>30000000</v>
      </c>
      <c r="AF92" s="1008">
        <f>10000000-10000000</f>
        <v>0</v>
      </c>
      <c r="AG92" s="1008"/>
      <c r="AH92" s="1008"/>
      <c r="AI92" s="1008"/>
      <c r="AJ92" s="1008"/>
      <c r="AK92" s="1008"/>
      <c r="AL92" s="1008"/>
      <c r="AM92" s="1008"/>
      <c r="AN92" s="1008"/>
      <c r="AO92" s="1008"/>
      <c r="AP92" s="1008"/>
      <c r="AQ92" s="1008"/>
      <c r="AR92" s="1008"/>
      <c r="AS92" s="1008"/>
      <c r="AT92" s="203"/>
      <c r="AU92" s="1011">
        <f t="shared" si="73"/>
        <v>0.75</v>
      </c>
      <c r="AV92" s="1008">
        <f t="shared" si="74"/>
        <v>30000000</v>
      </c>
      <c r="AW92" s="1008"/>
      <c r="AX92" s="1008"/>
      <c r="AY92" s="1008"/>
      <c r="AZ92" s="1008"/>
      <c r="BA92" s="1008"/>
      <c r="BB92" s="1008">
        <f>+'[9]FEBRERO 2015'!$N$1187</f>
        <v>30000000</v>
      </c>
      <c r="BC92" s="1008"/>
      <c r="BD92" s="1008"/>
      <c r="BE92" s="1008"/>
      <c r="BF92" s="1008"/>
      <c r="BG92" s="1008"/>
      <c r="BH92" s="1008"/>
      <c r="BI92" s="1008"/>
      <c r="BJ92" s="1008"/>
      <c r="BK92" s="1008"/>
      <c r="BL92" s="1008"/>
      <c r="BM92" s="1008"/>
      <c r="BN92" s="1008"/>
      <c r="BO92" s="1008"/>
      <c r="BP92" s="1008"/>
      <c r="BQ92" s="1011">
        <f t="shared" si="94"/>
        <v>0.25</v>
      </c>
      <c r="BR92" s="1008">
        <f t="shared" si="75"/>
        <v>10000000</v>
      </c>
      <c r="BS92" s="1008">
        <f t="shared" si="76"/>
        <v>0</v>
      </c>
      <c r="BT92" s="1008">
        <f t="shared" si="77"/>
        <v>0</v>
      </c>
      <c r="BU92" s="1008"/>
      <c r="BV92" s="1008">
        <f t="shared" si="78"/>
        <v>10000000</v>
      </c>
      <c r="BW92" s="1008"/>
      <c r="BX92" s="1008">
        <f t="shared" si="79"/>
        <v>0</v>
      </c>
      <c r="BY92" s="1008">
        <f t="shared" si="79"/>
        <v>0</v>
      </c>
      <c r="BZ92" s="1008"/>
      <c r="CA92" s="1008">
        <f t="shared" si="92"/>
        <v>0</v>
      </c>
      <c r="CB92" s="1008">
        <f t="shared" si="92"/>
        <v>0</v>
      </c>
      <c r="CC92" s="1008"/>
      <c r="CD92" s="1008">
        <f t="shared" si="93"/>
        <v>0</v>
      </c>
      <c r="CE92" s="1008">
        <f t="shared" si="93"/>
        <v>0</v>
      </c>
      <c r="CF92" s="1008">
        <f t="shared" si="93"/>
        <v>0</v>
      </c>
      <c r="CG92" s="1008">
        <f t="shared" si="93"/>
        <v>0</v>
      </c>
      <c r="CH92" s="1008">
        <f t="shared" si="93"/>
        <v>0</v>
      </c>
      <c r="CI92" s="1008">
        <f t="shared" si="93"/>
        <v>0</v>
      </c>
      <c r="CJ92" s="1008"/>
      <c r="CK92" s="1008"/>
      <c r="CL92" s="1008">
        <f t="shared" si="81"/>
        <v>0</v>
      </c>
      <c r="CM92" s="1011">
        <f t="shared" si="82"/>
        <v>0.33172907499999998</v>
      </c>
      <c r="CN92" s="1008">
        <f t="shared" si="83"/>
        <v>13269163</v>
      </c>
      <c r="CO92" s="1008"/>
      <c r="CP92" s="1008"/>
      <c r="CQ92" s="1008"/>
      <c r="CR92" s="1008"/>
      <c r="CS92" s="1008"/>
      <c r="CT92" s="1008">
        <f>+'[17]SEPTIEMBRE 2015'!$H$3661</f>
        <v>13269163</v>
      </c>
      <c r="CU92" s="1008"/>
      <c r="CV92" s="1008"/>
      <c r="CW92" s="1008"/>
      <c r="CX92" s="1008"/>
      <c r="CY92" s="1008"/>
      <c r="CZ92" s="1008"/>
      <c r="DA92" s="1008"/>
      <c r="DB92" s="1008"/>
      <c r="DC92" s="1008"/>
      <c r="DD92" s="1008"/>
      <c r="DE92" s="1008"/>
      <c r="DF92" s="1008"/>
      <c r="DG92" s="1008"/>
      <c r="DH92" s="1008"/>
      <c r="DI92" s="1011">
        <f t="shared" si="84"/>
        <v>0.66827092500000007</v>
      </c>
      <c r="DJ92" s="1008">
        <f t="shared" si="85"/>
        <v>26730837</v>
      </c>
      <c r="DK92" s="1008"/>
      <c r="DL92" s="1008"/>
      <c r="DM92" s="1008"/>
      <c r="DN92" s="1008">
        <f t="shared" si="86"/>
        <v>10000000</v>
      </c>
      <c r="DO92" s="1008"/>
      <c r="DP92" s="1008">
        <f t="shared" si="87"/>
        <v>16730837</v>
      </c>
      <c r="DQ92" s="1008">
        <f t="shared" si="87"/>
        <v>0</v>
      </c>
      <c r="DR92" s="1008"/>
      <c r="DS92" s="1008">
        <f t="shared" si="88"/>
        <v>0</v>
      </c>
      <c r="DT92" s="1008">
        <f t="shared" si="88"/>
        <v>0</v>
      </c>
      <c r="DU92" s="1008"/>
      <c r="DV92" s="1008">
        <f t="shared" si="89"/>
        <v>0</v>
      </c>
      <c r="DW92" s="1008">
        <f t="shared" si="89"/>
        <v>0</v>
      </c>
      <c r="DX92" s="1008">
        <f t="shared" si="89"/>
        <v>0</v>
      </c>
      <c r="DY92" s="1008">
        <f t="shared" si="90"/>
        <v>0</v>
      </c>
      <c r="DZ92" s="1008">
        <f t="shared" si="90"/>
        <v>0</v>
      </c>
      <c r="EA92" s="1008">
        <f t="shared" si="90"/>
        <v>0</v>
      </c>
      <c r="EB92" s="1008">
        <f t="shared" si="90"/>
        <v>0</v>
      </c>
      <c r="EC92" s="1008"/>
      <c r="ED92" s="1008">
        <f t="shared" si="91"/>
        <v>0</v>
      </c>
    </row>
    <row r="93" spans="1:134" ht="29.25" customHeight="1" x14ac:dyDescent="0.25">
      <c r="A93" s="1565"/>
      <c r="B93" s="1019" t="s">
        <v>4361</v>
      </c>
      <c r="C93" s="1094" t="s">
        <v>4430</v>
      </c>
      <c r="D93" s="1019" t="s">
        <v>4622</v>
      </c>
      <c r="E93" s="1020">
        <v>520</v>
      </c>
      <c r="F93" s="1097" t="s">
        <v>3350</v>
      </c>
      <c r="G93" s="1399">
        <v>20000000</v>
      </c>
      <c r="H93" s="1061">
        <f t="shared" si="70"/>
        <v>7792400</v>
      </c>
      <c r="I93" s="1061">
        <f t="shared" si="71"/>
        <v>2207600</v>
      </c>
      <c r="J93" s="1097" t="s">
        <v>4885</v>
      </c>
      <c r="K93" s="1093" t="s">
        <v>4886</v>
      </c>
      <c r="L93" s="1093" t="s">
        <v>4826</v>
      </c>
      <c r="M93" s="1093">
        <v>0</v>
      </c>
      <c r="N93" s="1093">
        <v>0</v>
      </c>
      <c r="O93" s="1093">
        <v>0</v>
      </c>
      <c r="P93" s="1093">
        <v>0</v>
      </c>
      <c r="Q93" s="1093">
        <v>0</v>
      </c>
      <c r="R93" s="1093">
        <v>0</v>
      </c>
      <c r="S93" s="1097"/>
      <c r="T93" s="1097"/>
      <c r="U93" s="1097"/>
      <c r="V93" s="1097"/>
      <c r="W93" s="1097"/>
      <c r="X93" s="1097"/>
      <c r="Y93" s="1008">
        <f t="shared" si="72"/>
        <v>10000000</v>
      </c>
      <c r="Z93" s="944"/>
      <c r="AA93" s="944"/>
      <c r="AB93" s="944"/>
      <c r="AC93" s="1008"/>
      <c r="AD93" s="1008"/>
      <c r="AE93" s="1008">
        <v>10000000</v>
      </c>
      <c r="AF93" s="1008"/>
      <c r="AG93" s="1008"/>
      <c r="AH93" s="1008"/>
      <c r="AI93" s="1008"/>
      <c r="AJ93" s="1008"/>
      <c r="AK93" s="1008"/>
      <c r="AL93" s="1008"/>
      <c r="AM93" s="1008"/>
      <c r="AN93" s="1008"/>
      <c r="AO93" s="1008"/>
      <c r="AP93" s="1008"/>
      <c r="AQ93" s="1008"/>
      <c r="AR93" s="1008"/>
      <c r="AS93" s="1008"/>
      <c r="AT93" s="203"/>
      <c r="AU93" s="1011">
        <f t="shared" si="73"/>
        <v>0.77924000000000004</v>
      </c>
      <c r="AV93" s="1008">
        <f t="shared" si="74"/>
        <v>7792400</v>
      </c>
      <c r="AW93" s="1008"/>
      <c r="AX93" s="1008"/>
      <c r="AY93" s="1008"/>
      <c r="AZ93" s="1008"/>
      <c r="BA93" s="1008"/>
      <c r="BB93" s="1008">
        <f>+'[18]OCTUBRE 2015'!$O$4180</f>
        <v>7792400</v>
      </c>
      <c r="BC93" s="1008"/>
      <c r="BD93" s="1008"/>
      <c r="BE93" s="1008"/>
      <c r="BF93" s="1008"/>
      <c r="BG93" s="1008"/>
      <c r="BH93" s="1008"/>
      <c r="BI93" s="1008"/>
      <c r="BJ93" s="1008"/>
      <c r="BK93" s="1008"/>
      <c r="BL93" s="1008"/>
      <c r="BM93" s="1008"/>
      <c r="BN93" s="1008"/>
      <c r="BO93" s="1008"/>
      <c r="BP93" s="1008"/>
      <c r="BQ93" s="1011">
        <f t="shared" si="94"/>
        <v>0.22075999999999996</v>
      </c>
      <c r="BR93" s="1008">
        <f t="shared" si="75"/>
        <v>2207600</v>
      </c>
      <c r="BS93" s="1008">
        <f t="shared" si="76"/>
        <v>0</v>
      </c>
      <c r="BT93" s="1008">
        <f t="shared" si="77"/>
        <v>0</v>
      </c>
      <c r="BU93" s="1008"/>
      <c r="BV93" s="1008">
        <f t="shared" si="78"/>
        <v>0</v>
      </c>
      <c r="BW93" s="1008"/>
      <c r="BX93" s="1008">
        <f t="shared" si="79"/>
        <v>2207600</v>
      </c>
      <c r="BY93" s="1008">
        <f t="shared" si="79"/>
        <v>0</v>
      </c>
      <c r="BZ93" s="1008"/>
      <c r="CA93" s="1008">
        <f t="shared" si="92"/>
        <v>0</v>
      </c>
      <c r="CB93" s="1008">
        <f t="shared" si="92"/>
        <v>0</v>
      </c>
      <c r="CC93" s="1008"/>
      <c r="CD93" s="1008">
        <f t="shared" si="93"/>
        <v>0</v>
      </c>
      <c r="CE93" s="1008">
        <f t="shared" si="93"/>
        <v>0</v>
      </c>
      <c r="CF93" s="1008">
        <f t="shared" si="93"/>
        <v>0</v>
      </c>
      <c r="CG93" s="1008">
        <f t="shared" si="93"/>
        <v>0</v>
      </c>
      <c r="CH93" s="1008">
        <f t="shared" si="93"/>
        <v>0</v>
      </c>
      <c r="CI93" s="1008">
        <f t="shared" si="93"/>
        <v>0</v>
      </c>
      <c r="CJ93" s="1008"/>
      <c r="CK93" s="1008"/>
      <c r="CL93" s="1008">
        <f t="shared" si="81"/>
        <v>0</v>
      </c>
      <c r="CM93" s="1011">
        <f t="shared" si="82"/>
        <v>0.77924000000000004</v>
      </c>
      <c r="CN93" s="1008">
        <f t="shared" si="83"/>
        <v>7792400</v>
      </c>
      <c r="CO93" s="1008"/>
      <c r="CP93" s="1008"/>
      <c r="CQ93" s="1008"/>
      <c r="CR93" s="1008"/>
      <c r="CS93" s="1008"/>
      <c r="CT93" s="1008">
        <f>+'[15]JULIO 2015'!$H$2656</f>
        <v>7792400</v>
      </c>
      <c r="CU93" s="1008"/>
      <c r="CV93" s="1008"/>
      <c r="CW93" s="1008"/>
      <c r="CX93" s="1008"/>
      <c r="CY93" s="1008"/>
      <c r="CZ93" s="1008"/>
      <c r="DA93" s="1008"/>
      <c r="DB93" s="1008"/>
      <c r="DC93" s="1008"/>
      <c r="DD93" s="1008"/>
      <c r="DE93" s="1008"/>
      <c r="DF93" s="1008"/>
      <c r="DG93" s="1008"/>
      <c r="DH93" s="1008"/>
      <c r="DI93" s="1011">
        <f t="shared" si="84"/>
        <v>0.22075999999999996</v>
      </c>
      <c r="DJ93" s="1008">
        <f t="shared" si="85"/>
        <v>2207600</v>
      </c>
      <c r="DK93" s="1008"/>
      <c r="DL93" s="1008"/>
      <c r="DM93" s="1008"/>
      <c r="DN93" s="1008">
        <f t="shared" si="86"/>
        <v>0</v>
      </c>
      <c r="DO93" s="1008"/>
      <c r="DP93" s="1008">
        <f t="shared" si="87"/>
        <v>2207600</v>
      </c>
      <c r="DQ93" s="1008">
        <f t="shared" si="87"/>
        <v>0</v>
      </c>
      <c r="DR93" s="1008"/>
      <c r="DS93" s="1008">
        <f t="shared" si="88"/>
        <v>0</v>
      </c>
      <c r="DT93" s="1008">
        <f t="shared" si="88"/>
        <v>0</v>
      </c>
      <c r="DU93" s="1008"/>
      <c r="DV93" s="1008">
        <f t="shared" si="89"/>
        <v>0</v>
      </c>
      <c r="DW93" s="1008">
        <f t="shared" si="89"/>
        <v>0</v>
      </c>
      <c r="DX93" s="1008">
        <f t="shared" si="89"/>
        <v>0</v>
      </c>
      <c r="DY93" s="1008">
        <f t="shared" si="90"/>
        <v>0</v>
      </c>
      <c r="DZ93" s="1008">
        <f t="shared" si="90"/>
        <v>0</v>
      </c>
      <c r="EA93" s="1008">
        <f t="shared" si="90"/>
        <v>0</v>
      </c>
      <c r="EB93" s="1008">
        <f t="shared" si="90"/>
        <v>0</v>
      </c>
      <c r="EC93" s="1008"/>
      <c r="ED93" s="1008">
        <f t="shared" si="91"/>
        <v>0</v>
      </c>
    </row>
    <row r="94" spans="1:134" ht="29.25" customHeight="1" x14ac:dyDescent="0.25">
      <c r="A94" s="1565"/>
      <c r="B94" s="1019"/>
      <c r="C94" s="1094" t="s">
        <v>4431</v>
      </c>
      <c r="D94" s="1019" t="s">
        <v>4623</v>
      </c>
      <c r="E94" s="1020">
        <v>520</v>
      </c>
      <c r="F94" s="1097" t="s">
        <v>3350</v>
      </c>
      <c r="G94" s="1401"/>
      <c r="H94" s="1061">
        <f t="shared" si="70"/>
        <v>0</v>
      </c>
      <c r="I94" s="1061">
        <f t="shared" si="71"/>
        <v>10000000</v>
      </c>
      <c r="J94" s="1097" t="s">
        <v>4885</v>
      </c>
      <c r="K94" s="1093" t="s">
        <v>4826</v>
      </c>
      <c r="L94" s="1093" t="s">
        <v>4826</v>
      </c>
      <c r="M94" s="1093">
        <v>0</v>
      </c>
      <c r="N94" s="1093">
        <v>0</v>
      </c>
      <c r="O94" s="1093">
        <v>0</v>
      </c>
      <c r="P94" s="1093">
        <v>0</v>
      </c>
      <c r="Q94" s="1093">
        <v>0</v>
      </c>
      <c r="R94" s="1093">
        <v>0</v>
      </c>
      <c r="S94" s="1097"/>
      <c r="T94" s="1097"/>
      <c r="U94" s="1097"/>
      <c r="V94" s="1097"/>
      <c r="W94" s="1097"/>
      <c r="X94" s="1097"/>
      <c r="Y94" s="1008">
        <f t="shared" si="72"/>
        <v>10000000</v>
      </c>
      <c r="Z94" s="944"/>
      <c r="AA94" s="944"/>
      <c r="AB94" s="944"/>
      <c r="AC94" s="944"/>
      <c r="AD94" s="944"/>
      <c r="AE94" s="1008">
        <v>10000000</v>
      </c>
      <c r="AF94" s="944"/>
      <c r="AG94" s="944"/>
      <c r="AH94" s="944"/>
      <c r="AI94" s="944"/>
      <c r="AJ94" s="944"/>
      <c r="AK94" s="149"/>
      <c r="AL94" s="944"/>
      <c r="AM94" s="944"/>
      <c r="AN94" s="944"/>
      <c r="AO94" s="944"/>
      <c r="AP94" s="944"/>
      <c r="AQ94" s="944"/>
      <c r="AR94" s="944"/>
      <c r="AS94" s="985"/>
      <c r="AT94" s="203"/>
      <c r="AU94" s="1011">
        <f t="shared" si="73"/>
        <v>0</v>
      </c>
      <c r="AV94" s="1008">
        <f t="shared" si="74"/>
        <v>0</v>
      </c>
      <c r="AW94" s="1008"/>
      <c r="AX94" s="1008"/>
      <c r="AY94" s="1008"/>
      <c r="AZ94" s="1008"/>
      <c r="BA94" s="1008"/>
      <c r="BB94" s="1008"/>
      <c r="BC94" s="1008"/>
      <c r="BD94" s="1008"/>
      <c r="BE94" s="1008"/>
      <c r="BF94" s="1008"/>
      <c r="BG94" s="1008"/>
      <c r="BH94" s="1008"/>
      <c r="BI94" s="1008"/>
      <c r="BJ94" s="1008"/>
      <c r="BK94" s="1008"/>
      <c r="BL94" s="1008"/>
      <c r="BM94" s="1008"/>
      <c r="BN94" s="1008"/>
      <c r="BO94" s="1008"/>
      <c r="BP94" s="1008"/>
      <c r="BQ94" s="1011">
        <f t="shared" si="94"/>
        <v>1</v>
      </c>
      <c r="BR94" s="1008">
        <f t="shared" si="75"/>
        <v>10000000</v>
      </c>
      <c r="BS94" s="1008">
        <f t="shared" si="76"/>
        <v>0</v>
      </c>
      <c r="BT94" s="1008">
        <f t="shared" si="77"/>
        <v>0</v>
      </c>
      <c r="BU94" s="1008"/>
      <c r="BV94" s="1008">
        <f t="shared" si="78"/>
        <v>0</v>
      </c>
      <c r="BW94" s="1008"/>
      <c r="BX94" s="1008">
        <f t="shared" si="79"/>
        <v>10000000</v>
      </c>
      <c r="BY94" s="1008">
        <f t="shared" si="79"/>
        <v>0</v>
      </c>
      <c r="BZ94" s="1008"/>
      <c r="CA94" s="1008">
        <f t="shared" si="92"/>
        <v>0</v>
      </c>
      <c r="CB94" s="1008">
        <f t="shared" si="92"/>
        <v>0</v>
      </c>
      <c r="CC94" s="1008"/>
      <c r="CD94" s="1008">
        <f t="shared" si="93"/>
        <v>0</v>
      </c>
      <c r="CE94" s="1008">
        <f t="shared" si="93"/>
        <v>0</v>
      </c>
      <c r="CF94" s="1008">
        <f t="shared" si="93"/>
        <v>0</v>
      </c>
      <c r="CG94" s="1008">
        <f t="shared" si="93"/>
        <v>0</v>
      </c>
      <c r="CH94" s="1008">
        <f t="shared" si="93"/>
        <v>0</v>
      </c>
      <c r="CI94" s="1008">
        <f t="shared" si="93"/>
        <v>0</v>
      </c>
      <c r="CJ94" s="1008"/>
      <c r="CK94" s="1008"/>
      <c r="CL94" s="1008">
        <f t="shared" si="81"/>
        <v>0</v>
      </c>
      <c r="CM94" s="1011">
        <f t="shared" si="82"/>
        <v>0</v>
      </c>
      <c r="CN94" s="1008">
        <f t="shared" si="83"/>
        <v>0</v>
      </c>
      <c r="CO94" s="1008"/>
      <c r="CP94" s="1008"/>
      <c r="CQ94" s="1008"/>
      <c r="CR94" s="1008"/>
      <c r="CS94" s="1008"/>
      <c r="CT94" s="1008"/>
      <c r="CU94" s="1008"/>
      <c r="CV94" s="1008"/>
      <c r="CW94" s="1008"/>
      <c r="CX94" s="1008"/>
      <c r="CY94" s="1008"/>
      <c r="CZ94" s="1008"/>
      <c r="DA94" s="1008"/>
      <c r="DB94" s="1008"/>
      <c r="DC94" s="1008"/>
      <c r="DD94" s="1008"/>
      <c r="DE94" s="1008"/>
      <c r="DF94" s="1008"/>
      <c r="DG94" s="1008"/>
      <c r="DH94" s="1008"/>
      <c r="DI94" s="1011">
        <f t="shared" si="84"/>
        <v>1</v>
      </c>
      <c r="DJ94" s="1008">
        <f t="shared" si="85"/>
        <v>10000000</v>
      </c>
      <c r="DK94" s="1008"/>
      <c r="DL94" s="1008"/>
      <c r="DM94" s="1008"/>
      <c r="DN94" s="1008">
        <f t="shared" si="86"/>
        <v>0</v>
      </c>
      <c r="DO94" s="1008"/>
      <c r="DP94" s="1008">
        <f t="shared" si="87"/>
        <v>10000000</v>
      </c>
      <c r="DQ94" s="1008">
        <f t="shared" si="87"/>
        <v>0</v>
      </c>
      <c r="DR94" s="1008"/>
      <c r="DS94" s="1008">
        <f t="shared" si="88"/>
        <v>0</v>
      </c>
      <c r="DT94" s="1008">
        <f t="shared" si="88"/>
        <v>0</v>
      </c>
      <c r="DU94" s="1008"/>
      <c r="DV94" s="1008">
        <f t="shared" si="89"/>
        <v>0</v>
      </c>
      <c r="DW94" s="1008">
        <f t="shared" si="89"/>
        <v>0</v>
      </c>
      <c r="DX94" s="1008">
        <f t="shared" si="89"/>
        <v>0</v>
      </c>
      <c r="DY94" s="1008">
        <f t="shared" si="90"/>
        <v>0</v>
      </c>
      <c r="DZ94" s="1008">
        <f t="shared" si="90"/>
        <v>0</v>
      </c>
      <c r="EA94" s="1008">
        <f t="shared" si="90"/>
        <v>0</v>
      </c>
      <c r="EB94" s="1008">
        <f t="shared" si="90"/>
        <v>0</v>
      </c>
      <c r="EC94" s="1008"/>
      <c r="ED94" s="1008">
        <f t="shared" si="91"/>
        <v>0</v>
      </c>
    </row>
    <row r="95" spans="1:134" ht="33.75" customHeight="1" x14ac:dyDescent="0.25">
      <c r="A95" s="1565"/>
      <c r="B95" s="1019" t="s">
        <v>4362</v>
      </c>
      <c r="C95" s="1094" t="s">
        <v>4432</v>
      </c>
      <c r="D95" s="1019" t="s">
        <v>4624</v>
      </c>
      <c r="E95" s="1020">
        <v>520</v>
      </c>
      <c r="F95" s="1097" t="s">
        <v>3350</v>
      </c>
      <c r="G95" s="1399">
        <v>150000000</v>
      </c>
      <c r="H95" s="1061">
        <f t="shared" si="70"/>
        <v>2200000</v>
      </c>
      <c r="I95" s="1061">
        <f t="shared" si="71"/>
        <v>12800000</v>
      </c>
      <c r="J95" s="1097" t="s">
        <v>4887</v>
      </c>
      <c r="K95" s="1093" t="s">
        <v>4889</v>
      </c>
      <c r="L95" s="1093" t="s">
        <v>4892</v>
      </c>
      <c r="M95" s="1093">
        <v>0</v>
      </c>
      <c r="N95" s="1093">
        <v>0</v>
      </c>
      <c r="O95" s="1093">
        <v>0</v>
      </c>
      <c r="P95" s="1093">
        <v>0</v>
      </c>
      <c r="Q95" s="1093">
        <v>0</v>
      </c>
      <c r="R95" s="1093">
        <v>0</v>
      </c>
      <c r="S95" s="1097"/>
      <c r="T95" s="1097"/>
      <c r="U95" s="1097"/>
      <c r="V95" s="1097"/>
      <c r="W95" s="1097"/>
      <c r="X95" s="1097"/>
      <c r="Y95" s="1008">
        <f t="shared" si="72"/>
        <v>15000000</v>
      </c>
      <c r="Z95" s="944"/>
      <c r="AA95" s="944">
        <f>15000000-15000000</f>
        <v>0</v>
      </c>
      <c r="AB95" s="944"/>
      <c r="AC95" s="944"/>
      <c r="AD95" s="944"/>
      <c r="AE95" s="1017">
        <f>15000000</f>
        <v>15000000</v>
      </c>
      <c r="AF95" s="944"/>
      <c r="AG95" s="944"/>
      <c r="AH95" s="944"/>
      <c r="AI95" s="944"/>
      <c r="AJ95" s="944"/>
      <c r="AK95" s="149"/>
      <c r="AL95" s="944"/>
      <c r="AM95" s="944"/>
      <c r="AN95" s="944"/>
      <c r="AO95" s="944"/>
      <c r="AP95" s="944"/>
      <c r="AQ95" s="944"/>
      <c r="AR95" s="944"/>
      <c r="AS95" s="985"/>
      <c r="AT95" s="203"/>
      <c r="AU95" s="1011">
        <f t="shared" si="73"/>
        <v>1</v>
      </c>
      <c r="AV95" s="1008">
        <f t="shared" si="74"/>
        <v>15000000</v>
      </c>
      <c r="AW95" s="1008"/>
      <c r="AX95" s="1008"/>
      <c r="AY95" s="1008"/>
      <c r="AZ95" s="1008"/>
      <c r="BA95" s="1008"/>
      <c r="BB95" s="1008">
        <f>+'[8]FEBRERO 2015'!$N$1280</f>
        <v>15000000</v>
      </c>
      <c r="BC95" s="1008"/>
      <c r="BD95" s="1008"/>
      <c r="BE95" s="1008"/>
      <c r="BF95" s="1008"/>
      <c r="BG95" s="1008"/>
      <c r="BH95" s="1008"/>
      <c r="BI95" s="1008"/>
      <c r="BJ95" s="1008"/>
      <c r="BK95" s="1008"/>
      <c r="BL95" s="1008"/>
      <c r="BM95" s="1008"/>
      <c r="BN95" s="1008"/>
      <c r="BO95" s="1008"/>
      <c r="BP95" s="1008"/>
      <c r="BQ95" s="1011">
        <f t="shared" si="94"/>
        <v>0</v>
      </c>
      <c r="BR95" s="1008">
        <f t="shared" si="75"/>
        <v>0</v>
      </c>
      <c r="BS95" s="1008">
        <f t="shared" si="76"/>
        <v>0</v>
      </c>
      <c r="BT95" s="1008">
        <f t="shared" si="77"/>
        <v>0</v>
      </c>
      <c r="BU95" s="1008"/>
      <c r="BV95" s="1008">
        <f t="shared" si="78"/>
        <v>0</v>
      </c>
      <c r="BW95" s="1008"/>
      <c r="BX95" s="1008">
        <f t="shared" si="79"/>
        <v>0</v>
      </c>
      <c r="BY95" s="1008">
        <f t="shared" si="79"/>
        <v>0</v>
      </c>
      <c r="BZ95" s="1008"/>
      <c r="CA95" s="1008">
        <f t="shared" si="92"/>
        <v>0</v>
      </c>
      <c r="CB95" s="1008">
        <f t="shared" si="92"/>
        <v>0</v>
      </c>
      <c r="CC95" s="1008"/>
      <c r="CD95" s="1008">
        <f t="shared" si="93"/>
        <v>0</v>
      </c>
      <c r="CE95" s="1008">
        <f t="shared" si="93"/>
        <v>0</v>
      </c>
      <c r="CF95" s="1008">
        <f t="shared" si="93"/>
        <v>0</v>
      </c>
      <c r="CG95" s="1008">
        <f t="shared" si="93"/>
        <v>0</v>
      </c>
      <c r="CH95" s="1008">
        <f t="shared" si="93"/>
        <v>0</v>
      </c>
      <c r="CI95" s="1008">
        <f t="shared" si="93"/>
        <v>0</v>
      </c>
      <c r="CJ95" s="1008"/>
      <c r="CK95" s="1008"/>
      <c r="CL95" s="1008">
        <f t="shared" si="81"/>
        <v>0</v>
      </c>
      <c r="CM95" s="1011">
        <f t="shared" si="82"/>
        <v>0.14666666666666667</v>
      </c>
      <c r="CN95" s="1008">
        <f t="shared" si="83"/>
        <v>2200000</v>
      </c>
      <c r="CO95" s="1008"/>
      <c r="CP95" s="1008"/>
      <c r="CQ95" s="1008"/>
      <c r="CR95" s="1008"/>
      <c r="CS95" s="1008"/>
      <c r="CT95" s="1008">
        <f>+'[18]OCTUBRE 2015'!$H$4191</f>
        <v>2200000</v>
      </c>
      <c r="CU95" s="1008"/>
      <c r="CV95" s="1008"/>
      <c r="CW95" s="1008"/>
      <c r="CX95" s="1008"/>
      <c r="CY95" s="1008"/>
      <c r="CZ95" s="1008"/>
      <c r="DA95" s="1008"/>
      <c r="DB95" s="1008"/>
      <c r="DC95" s="1008"/>
      <c r="DD95" s="1008"/>
      <c r="DE95" s="1008"/>
      <c r="DF95" s="1008"/>
      <c r="DG95" s="1008"/>
      <c r="DH95" s="1008"/>
      <c r="DI95" s="1011">
        <f t="shared" si="84"/>
        <v>0.85333333333333328</v>
      </c>
      <c r="DJ95" s="1008">
        <f t="shared" si="85"/>
        <v>12800000</v>
      </c>
      <c r="DK95" s="1008"/>
      <c r="DL95" s="1008">
        <f>AA95-CP95</f>
        <v>0</v>
      </c>
      <c r="DM95" s="1008">
        <f>AB95-CQ95</f>
        <v>0</v>
      </c>
      <c r="DN95" s="1008">
        <f t="shared" si="86"/>
        <v>0</v>
      </c>
      <c r="DO95" s="1008"/>
      <c r="DP95" s="1008">
        <f t="shared" si="87"/>
        <v>12800000</v>
      </c>
      <c r="DQ95" s="1008">
        <f t="shared" si="87"/>
        <v>0</v>
      </c>
      <c r="DR95" s="1008"/>
      <c r="DS95" s="1008">
        <f t="shared" si="88"/>
        <v>0</v>
      </c>
      <c r="DT95" s="1008">
        <f t="shared" si="88"/>
        <v>0</v>
      </c>
      <c r="DU95" s="1008"/>
      <c r="DV95" s="1008">
        <f t="shared" si="89"/>
        <v>0</v>
      </c>
      <c r="DW95" s="1008">
        <f t="shared" si="89"/>
        <v>0</v>
      </c>
      <c r="DX95" s="1008">
        <f t="shared" si="89"/>
        <v>0</v>
      </c>
      <c r="DY95" s="1008">
        <f t="shared" si="90"/>
        <v>0</v>
      </c>
      <c r="DZ95" s="1008">
        <f t="shared" si="90"/>
        <v>0</v>
      </c>
      <c r="EA95" s="1008">
        <f t="shared" si="90"/>
        <v>0</v>
      </c>
      <c r="EB95" s="1008">
        <f t="shared" si="90"/>
        <v>0</v>
      </c>
      <c r="EC95" s="1008"/>
      <c r="ED95" s="1008">
        <f t="shared" si="91"/>
        <v>0</v>
      </c>
    </row>
    <row r="96" spans="1:134" ht="48" customHeight="1" x14ac:dyDescent="0.25">
      <c r="A96" s="1565"/>
      <c r="B96" s="1019"/>
      <c r="C96" s="1094" t="s">
        <v>4433</v>
      </c>
      <c r="D96" s="1019" t="s">
        <v>4625</v>
      </c>
      <c r="E96" s="1020">
        <v>520</v>
      </c>
      <c r="F96" s="1097" t="s">
        <v>3350</v>
      </c>
      <c r="G96" s="1400"/>
      <c r="H96" s="1061">
        <f t="shared" si="70"/>
        <v>21818596</v>
      </c>
      <c r="I96" s="1061">
        <f t="shared" si="71"/>
        <v>8181404</v>
      </c>
      <c r="J96" s="1097" t="s">
        <v>4888</v>
      </c>
      <c r="K96" s="1093" t="s">
        <v>4890</v>
      </c>
      <c r="L96" s="1093" t="s">
        <v>4893</v>
      </c>
      <c r="M96" s="1093">
        <v>0</v>
      </c>
      <c r="N96" s="1093">
        <v>0</v>
      </c>
      <c r="O96" s="1093">
        <v>0</v>
      </c>
      <c r="P96" s="1093">
        <v>45</v>
      </c>
      <c r="Q96" s="1093">
        <v>0</v>
      </c>
      <c r="R96" s="1093">
        <v>0</v>
      </c>
      <c r="S96" s="1097"/>
      <c r="T96" s="1097"/>
      <c r="U96" s="1097"/>
      <c r="V96" s="1097"/>
      <c r="W96" s="1097"/>
      <c r="X96" s="1097"/>
      <c r="Y96" s="1008">
        <f t="shared" si="72"/>
        <v>30000000</v>
      </c>
      <c r="Z96" s="944"/>
      <c r="AA96" s="944">
        <f>30000000-30000000</f>
        <v>0</v>
      </c>
      <c r="AB96" s="944"/>
      <c r="AC96" s="944"/>
      <c r="AD96" s="944"/>
      <c r="AE96" s="1017">
        <v>30000000</v>
      </c>
      <c r="AF96" s="944"/>
      <c r="AG96" s="944"/>
      <c r="AH96" s="944"/>
      <c r="AI96" s="944"/>
      <c r="AJ96" s="944"/>
      <c r="AK96" s="149"/>
      <c r="AL96" s="944"/>
      <c r="AM96" s="944"/>
      <c r="AN96" s="944"/>
      <c r="AO96" s="944"/>
      <c r="AP96" s="944"/>
      <c r="AQ96" s="944"/>
      <c r="AR96" s="944"/>
      <c r="AS96" s="985"/>
      <c r="AT96" s="203"/>
      <c r="AU96" s="1011">
        <f t="shared" si="73"/>
        <v>1</v>
      </c>
      <c r="AV96" s="1008">
        <f t="shared" si="74"/>
        <v>30000000</v>
      </c>
      <c r="AW96" s="1008"/>
      <c r="AX96" s="1008"/>
      <c r="AY96" s="1008"/>
      <c r="AZ96" s="1008"/>
      <c r="BA96" s="1008"/>
      <c r="BB96" s="1008">
        <f>+'[8]FEBRERO 2015'!$N$1285</f>
        <v>30000000</v>
      </c>
      <c r="BC96" s="1008"/>
      <c r="BD96" s="1008"/>
      <c r="BE96" s="1008"/>
      <c r="BF96" s="1008"/>
      <c r="BG96" s="1008"/>
      <c r="BH96" s="1008"/>
      <c r="BI96" s="1008"/>
      <c r="BJ96" s="1008"/>
      <c r="BK96" s="1008"/>
      <c r="BL96" s="1008"/>
      <c r="BM96" s="1008"/>
      <c r="BN96" s="1008"/>
      <c r="BO96" s="1008"/>
      <c r="BP96" s="1008"/>
      <c r="BQ96" s="1011">
        <f t="shared" si="94"/>
        <v>0</v>
      </c>
      <c r="BR96" s="1008">
        <f t="shared" si="75"/>
        <v>0</v>
      </c>
      <c r="BS96" s="1008">
        <f t="shared" si="76"/>
        <v>0</v>
      </c>
      <c r="BT96" s="1008">
        <f t="shared" si="77"/>
        <v>0</v>
      </c>
      <c r="BU96" s="1008"/>
      <c r="BV96" s="1008">
        <f t="shared" si="78"/>
        <v>0</v>
      </c>
      <c r="BW96" s="1008"/>
      <c r="BX96" s="1008">
        <f t="shared" si="79"/>
        <v>0</v>
      </c>
      <c r="BY96" s="1008">
        <f t="shared" si="79"/>
        <v>0</v>
      </c>
      <c r="BZ96" s="1008"/>
      <c r="CA96" s="1008">
        <f t="shared" si="92"/>
        <v>0</v>
      </c>
      <c r="CB96" s="1008">
        <f t="shared" si="92"/>
        <v>0</v>
      </c>
      <c r="CC96" s="1008"/>
      <c r="CD96" s="1008">
        <f t="shared" si="93"/>
        <v>0</v>
      </c>
      <c r="CE96" s="1008">
        <f t="shared" si="93"/>
        <v>0</v>
      </c>
      <c r="CF96" s="1008">
        <f t="shared" si="93"/>
        <v>0</v>
      </c>
      <c r="CG96" s="1008">
        <f t="shared" si="93"/>
        <v>0</v>
      </c>
      <c r="CH96" s="1008">
        <f t="shared" si="93"/>
        <v>0</v>
      </c>
      <c r="CI96" s="1008">
        <f t="shared" si="93"/>
        <v>0</v>
      </c>
      <c r="CJ96" s="1008"/>
      <c r="CK96" s="1008"/>
      <c r="CL96" s="1008">
        <f t="shared" si="81"/>
        <v>0</v>
      </c>
      <c r="CM96" s="1011">
        <f t="shared" si="82"/>
        <v>0.72728653333333337</v>
      </c>
      <c r="CN96" s="1008">
        <f t="shared" si="83"/>
        <v>21818596</v>
      </c>
      <c r="CO96" s="1008"/>
      <c r="CP96" s="1008"/>
      <c r="CQ96" s="1008"/>
      <c r="CR96" s="1008"/>
      <c r="CS96" s="1008"/>
      <c r="CT96" s="1008">
        <f>+'[17]SEPTIEMBRE 2015'!$H$3692</f>
        <v>21818596</v>
      </c>
      <c r="CU96" s="1008"/>
      <c r="CV96" s="1008"/>
      <c r="CW96" s="1008"/>
      <c r="CX96" s="1008"/>
      <c r="CY96" s="1008"/>
      <c r="CZ96" s="1008"/>
      <c r="DA96" s="1008"/>
      <c r="DB96" s="1008"/>
      <c r="DC96" s="1008"/>
      <c r="DD96" s="1008"/>
      <c r="DE96" s="1008"/>
      <c r="DF96" s="1008"/>
      <c r="DG96" s="1008"/>
      <c r="DH96" s="1008"/>
      <c r="DI96" s="1011">
        <f t="shared" si="84"/>
        <v>0.27271346666666663</v>
      </c>
      <c r="DJ96" s="1008">
        <f t="shared" si="85"/>
        <v>8181404</v>
      </c>
      <c r="DK96" s="1008"/>
      <c r="DL96" s="1008">
        <f>AA96-CP96</f>
        <v>0</v>
      </c>
      <c r="DM96" s="1008">
        <f>AB96-CQ96</f>
        <v>0</v>
      </c>
      <c r="DN96" s="1008">
        <f t="shared" si="86"/>
        <v>0</v>
      </c>
      <c r="DO96" s="1008"/>
      <c r="DP96" s="1008">
        <f t="shared" si="87"/>
        <v>8181404</v>
      </c>
      <c r="DQ96" s="1008">
        <f t="shared" si="87"/>
        <v>0</v>
      </c>
      <c r="DR96" s="1008"/>
      <c r="DS96" s="1008">
        <f t="shared" si="88"/>
        <v>0</v>
      </c>
      <c r="DT96" s="1008">
        <f t="shared" si="88"/>
        <v>0</v>
      </c>
      <c r="DU96" s="1008"/>
      <c r="DV96" s="1008">
        <f t="shared" si="89"/>
        <v>0</v>
      </c>
      <c r="DW96" s="1008">
        <f t="shared" si="89"/>
        <v>0</v>
      </c>
      <c r="DX96" s="1008">
        <f t="shared" si="89"/>
        <v>0</v>
      </c>
      <c r="DY96" s="1008">
        <f t="shared" si="90"/>
        <v>0</v>
      </c>
      <c r="DZ96" s="1008">
        <f t="shared" si="90"/>
        <v>0</v>
      </c>
      <c r="EA96" s="1008">
        <f t="shared" si="90"/>
        <v>0</v>
      </c>
      <c r="EB96" s="1008">
        <f t="shared" si="90"/>
        <v>0</v>
      </c>
      <c r="EC96" s="1008"/>
      <c r="ED96" s="1008">
        <f t="shared" si="91"/>
        <v>0</v>
      </c>
    </row>
    <row r="97" spans="1:134" ht="34.5" customHeight="1" x14ac:dyDescent="0.25">
      <c r="A97" s="1565"/>
      <c r="B97" s="1019"/>
      <c r="C97" s="1094" t="s">
        <v>4434</v>
      </c>
      <c r="D97" s="1019" t="s">
        <v>4626</v>
      </c>
      <c r="E97" s="1020">
        <v>520</v>
      </c>
      <c r="F97" s="1097" t="s">
        <v>3350</v>
      </c>
      <c r="G97" s="1400"/>
      <c r="H97" s="1061">
        <f t="shared" si="70"/>
        <v>0</v>
      </c>
      <c r="I97" s="1061">
        <f t="shared" si="71"/>
        <v>20000000</v>
      </c>
      <c r="J97" s="1399" t="s">
        <v>4885</v>
      </c>
      <c r="K97" s="1283" t="s">
        <v>4891</v>
      </c>
      <c r="L97" s="1283" t="s">
        <v>4894</v>
      </c>
      <c r="M97" s="1093">
        <v>0</v>
      </c>
      <c r="N97" s="1093">
        <v>0</v>
      </c>
      <c r="O97" s="1093">
        <v>0</v>
      </c>
      <c r="P97" s="1093">
        <v>0</v>
      </c>
      <c r="Q97" s="1093">
        <v>0</v>
      </c>
      <c r="R97" s="1093">
        <v>0</v>
      </c>
      <c r="S97" s="1097"/>
      <c r="T97" s="1097"/>
      <c r="U97" s="1097"/>
      <c r="V97" s="1097"/>
      <c r="W97" s="1097"/>
      <c r="X97" s="1097"/>
      <c r="Y97" s="1008">
        <f t="shared" si="72"/>
        <v>20000000</v>
      </c>
      <c r="Z97" s="944"/>
      <c r="AA97" s="944"/>
      <c r="AB97" s="944"/>
      <c r="AC97" s="944"/>
      <c r="AD97" s="944"/>
      <c r="AE97" s="1008">
        <f>50000000-30000000</f>
        <v>20000000</v>
      </c>
      <c r="AF97" s="944"/>
      <c r="AG97" s="944"/>
      <c r="AH97" s="944"/>
      <c r="AI97" s="944"/>
      <c r="AJ97" s="944"/>
      <c r="AK97" s="149"/>
      <c r="AL97" s="944"/>
      <c r="AM97" s="944"/>
      <c r="AN97" s="944"/>
      <c r="AO97" s="944"/>
      <c r="AP97" s="944"/>
      <c r="AQ97" s="944"/>
      <c r="AR97" s="944"/>
      <c r="AS97" s="985"/>
      <c r="AT97" s="203"/>
      <c r="AU97" s="1011">
        <f t="shared" si="73"/>
        <v>1</v>
      </c>
      <c r="AV97" s="1008">
        <f t="shared" si="74"/>
        <v>20000000</v>
      </c>
      <c r="AW97" s="1008"/>
      <c r="AX97" s="1008"/>
      <c r="AY97" s="1008"/>
      <c r="AZ97" s="1008"/>
      <c r="BA97" s="1008"/>
      <c r="BB97" s="1008">
        <f>+'[9]FEBRERO 2015'!$N$1216-30000000</f>
        <v>20000000</v>
      </c>
      <c r="BC97" s="1008"/>
      <c r="BD97" s="1008"/>
      <c r="BE97" s="1008"/>
      <c r="BF97" s="1008"/>
      <c r="BG97" s="1008"/>
      <c r="BH97" s="1008"/>
      <c r="BI97" s="1008"/>
      <c r="BJ97" s="1008"/>
      <c r="BK97" s="1008"/>
      <c r="BL97" s="1008"/>
      <c r="BM97" s="1008"/>
      <c r="BN97" s="1008"/>
      <c r="BO97" s="1008"/>
      <c r="BP97" s="1008"/>
      <c r="BQ97" s="1011">
        <f t="shared" si="94"/>
        <v>0</v>
      </c>
      <c r="BR97" s="1008">
        <f t="shared" si="75"/>
        <v>0</v>
      </c>
      <c r="BS97" s="1008">
        <f t="shared" si="76"/>
        <v>0</v>
      </c>
      <c r="BT97" s="1008">
        <f t="shared" si="77"/>
        <v>0</v>
      </c>
      <c r="BU97" s="1008"/>
      <c r="BV97" s="1008">
        <f t="shared" si="78"/>
        <v>0</v>
      </c>
      <c r="BW97" s="1008"/>
      <c r="BX97" s="1008">
        <f t="shared" si="79"/>
        <v>0</v>
      </c>
      <c r="BY97" s="1008">
        <f t="shared" si="79"/>
        <v>0</v>
      </c>
      <c r="BZ97" s="1008"/>
      <c r="CA97" s="1008">
        <f t="shared" si="92"/>
        <v>0</v>
      </c>
      <c r="CB97" s="1008">
        <f t="shared" si="92"/>
        <v>0</v>
      </c>
      <c r="CC97" s="1008"/>
      <c r="CD97" s="1008">
        <f t="shared" si="93"/>
        <v>0</v>
      </c>
      <c r="CE97" s="1008">
        <f t="shared" si="93"/>
        <v>0</v>
      </c>
      <c r="CF97" s="1008">
        <f t="shared" si="93"/>
        <v>0</v>
      </c>
      <c r="CG97" s="1008">
        <f t="shared" si="93"/>
        <v>0</v>
      </c>
      <c r="CH97" s="1008">
        <f t="shared" si="93"/>
        <v>0</v>
      </c>
      <c r="CI97" s="1008">
        <f t="shared" si="93"/>
        <v>0</v>
      </c>
      <c r="CJ97" s="1008"/>
      <c r="CK97" s="1008"/>
      <c r="CL97" s="1008">
        <f t="shared" si="81"/>
        <v>0</v>
      </c>
      <c r="CM97" s="1011">
        <f t="shared" si="82"/>
        <v>0</v>
      </c>
      <c r="CN97" s="1008">
        <f t="shared" si="83"/>
        <v>0</v>
      </c>
      <c r="CO97" s="1008"/>
      <c r="CP97" s="1008"/>
      <c r="CQ97" s="1008"/>
      <c r="CR97" s="1008"/>
      <c r="CS97" s="1008"/>
      <c r="CT97" s="1008"/>
      <c r="CU97" s="1008"/>
      <c r="CV97" s="1008"/>
      <c r="CW97" s="1008"/>
      <c r="CX97" s="1008"/>
      <c r="CY97" s="1008"/>
      <c r="CZ97" s="1008"/>
      <c r="DA97" s="1008"/>
      <c r="DB97" s="1008"/>
      <c r="DC97" s="1008"/>
      <c r="DD97" s="1008"/>
      <c r="DE97" s="1008"/>
      <c r="DF97" s="1008"/>
      <c r="DG97" s="1008"/>
      <c r="DH97" s="1008"/>
      <c r="DI97" s="1011">
        <f t="shared" si="84"/>
        <v>1</v>
      </c>
      <c r="DJ97" s="1008">
        <f t="shared" si="85"/>
        <v>20000000</v>
      </c>
      <c r="DK97" s="1008"/>
      <c r="DL97" s="1008"/>
      <c r="DM97" s="1008"/>
      <c r="DN97" s="1008">
        <f t="shared" si="86"/>
        <v>0</v>
      </c>
      <c r="DO97" s="1008"/>
      <c r="DP97" s="1008">
        <f t="shared" si="87"/>
        <v>20000000</v>
      </c>
      <c r="DQ97" s="1008">
        <f t="shared" si="87"/>
        <v>0</v>
      </c>
      <c r="DR97" s="1008"/>
      <c r="DS97" s="1008">
        <f t="shared" si="88"/>
        <v>0</v>
      </c>
      <c r="DT97" s="1008">
        <f t="shared" si="88"/>
        <v>0</v>
      </c>
      <c r="DU97" s="1008"/>
      <c r="DV97" s="1008">
        <f t="shared" si="89"/>
        <v>0</v>
      </c>
      <c r="DW97" s="1008">
        <f t="shared" si="89"/>
        <v>0</v>
      </c>
      <c r="DX97" s="1008">
        <f t="shared" si="89"/>
        <v>0</v>
      </c>
      <c r="DY97" s="1008">
        <f t="shared" si="90"/>
        <v>0</v>
      </c>
      <c r="DZ97" s="1008">
        <f t="shared" si="90"/>
        <v>0</v>
      </c>
      <c r="EA97" s="1008">
        <f t="shared" si="90"/>
        <v>0</v>
      </c>
      <c r="EB97" s="1008">
        <f t="shared" si="90"/>
        <v>0</v>
      </c>
      <c r="EC97" s="1008"/>
      <c r="ED97" s="1008">
        <f t="shared" si="91"/>
        <v>0</v>
      </c>
    </row>
    <row r="98" spans="1:134" ht="33.75" customHeight="1" x14ac:dyDescent="0.25">
      <c r="A98" s="1565"/>
      <c r="B98" s="1019"/>
      <c r="C98" s="1094" t="s">
        <v>4435</v>
      </c>
      <c r="D98" s="1019" t="s">
        <v>4627</v>
      </c>
      <c r="E98" s="1020">
        <v>520</v>
      </c>
      <c r="F98" s="1097" t="s">
        <v>3350</v>
      </c>
      <c r="G98" s="1401"/>
      <c r="H98" s="1061">
        <f t="shared" si="70"/>
        <v>646074</v>
      </c>
      <c r="I98" s="1061">
        <f t="shared" si="71"/>
        <v>24353926</v>
      </c>
      <c r="J98" s="1401"/>
      <c r="K98" s="1284"/>
      <c r="L98" s="1284"/>
      <c r="M98" s="1093">
        <v>0</v>
      </c>
      <c r="N98" s="1093">
        <v>0</v>
      </c>
      <c r="O98" s="1093">
        <v>0</v>
      </c>
      <c r="P98" s="1093">
        <v>0</v>
      </c>
      <c r="Q98" s="1093">
        <v>0</v>
      </c>
      <c r="R98" s="1093">
        <v>0</v>
      </c>
      <c r="S98" s="1097"/>
      <c r="T98" s="1097"/>
      <c r="U98" s="1097"/>
      <c r="V98" s="1097"/>
      <c r="W98" s="1097"/>
      <c r="X98" s="1097"/>
      <c r="Y98" s="1008">
        <f t="shared" si="72"/>
        <v>25000000</v>
      </c>
      <c r="Z98" s="944"/>
      <c r="AA98" s="944">
        <f>10819123-10819123</f>
        <v>0</v>
      </c>
      <c r="AB98" s="944"/>
      <c r="AC98" s="944"/>
      <c r="AD98" s="944"/>
      <c r="AE98" s="1017">
        <f>44180877+10819123-30000000</f>
        <v>25000000</v>
      </c>
      <c r="AF98" s="944"/>
      <c r="AG98" s="944"/>
      <c r="AH98" s="944"/>
      <c r="AI98" s="944"/>
      <c r="AJ98" s="944"/>
      <c r="AK98" s="149"/>
      <c r="AL98" s="944"/>
      <c r="AM98" s="944"/>
      <c r="AN98" s="1008"/>
      <c r="AO98" s="1008"/>
      <c r="AP98" s="1008"/>
      <c r="AQ98" s="1008"/>
      <c r="AR98" s="1008"/>
      <c r="AS98" s="1008"/>
      <c r="AT98" s="203"/>
      <c r="AU98" s="1011">
        <f t="shared" si="73"/>
        <v>0.56723508</v>
      </c>
      <c r="AV98" s="1008">
        <f t="shared" si="74"/>
        <v>14180877</v>
      </c>
      <c r="AW98" s="1008"/>
      <c r="AX98" s="1008"/>
      <c r="AY98" s="1008"/>
      <c r="AZ98" s="1008"/>
      <c r="BA98" s="1008"/>
      <c r="BB98" s="1008">
        <f>+'[9]FEBRERO 2015'!$N$1221-30000000</f>
        <v>14180877</v>
      </c>
      <c r="BC98" s="1008"/>
      <c r="BD98" s="1008"/>
      <c r="BE98" s="1008"/>
      <c r="BF98" s="1008"/>
      <c r="BG98" s="1008"/>
      <c r="BH98" s="1008"/>
      <c r="BI98" s="1008"/>
      <c r="BJ98" s="1008"/>
      <c r="BK98" s="1008"/>
      <c r="BL98" s="1008"/>
      <c r="BM98" s="1008"/>
      <c r="BN98" s="1008"/>
      <c r="BO98" s="1008"/>
      <c r="BP98" s="1008"/>
      <c r="BQ98" s="1011">
        <f t="shared" si="94"/>
        <v>0.43276492</v>
      </c>
      <c r="BR98" s="1008">
        <f t="shared" si="75"/>
        <v>10819123</v>
      </c>
      <c r="BS98" s="1008">
        <f t="shared" si="76"/>
        <v>0</v>
      </c>
      <c r="BT98" s="1008">
        <f t="shared" si="77"/>
        <v>0</v>
      </c>
      <c r="BU98" s="1008"/>
      <c r="BV98" s="1008">
        <f t="shared" si="78"/>
        <v>0</v>
      </c>
      <c r="BW98" s="1008"/>
      <c r="BX98" s="1008">
        <f t="shared" si="79"/>
        <v>10819123</v>
      </c>
      <c r="BY98" s="1008">
        <f t="shared" si="79"/>
        <v>0</v>
      </c>
      <c r="BZ98" s="1008"/>
      <c r="CA98" s="1008">
        <f t="shared" si="92"/>
        <v>0</v>
      </c>
      <c r="CB98" s="1008">
        <f t="shared" si="92"/>
        <v>0</v>
      </c>
      <c r="CC98" s="1008"/>
      <c r="CD98" s="1008">
        <f t="shared" si="93"/>
        <v>0</v>
      </c>
      <c r="CE98" s="1008">
        <f t="shared" si="93"/>
        <v>0</v>
      </c>
      <c r="CF98" s="1008">
        <f t="shared" si="93"/>
        <v>0</v>
      </c>
      <c r="CG98" s="1008">
        <f t="shared" si="93"/>
        <v>0</v>
      </c>
      <c r="CH98" s="1008">
        <f t="shared" si="93"/>
        <v>0</v>
      </c>
      <c r="CI98" s="1008">
        <f t="shared" si="93"/>
        <v>0</v>
      </c>
      <c r="CJ98" s="1008"/>
      <c r="CK98" s="1008"/>
      <c r="CL98" s="1008">
        <f t="shared" si="81"/>
        <v>0</v>
      </c>
      <c r="CM98" s="1011">
        <f t="shared" si="82"/>
        <v>2.5842960000000002E-2</v>
      </c>
      <c r="CN98" s="1008">
        <f t="shared" si="83"/>
        <v>646074</v>
      </c>
      <c r="CO98" s="1008"/>
      <c r="CP98" s="1008"/>
      <c r="CQ98" s="1008"/>
      <c r="CR98" s="1008"/>
      <c r="CS98" s="1008"/>
      <c r="CT98" s="1008">
        <f>+'[16]AGOSTO 2015'!$H$3027</f>
        <v>646074</v>
      </c>
      <c r="CU98" s="1008"/>
      <c r="CV98" s="1008"/>
      <c r="CW98" s="1008"/>
      <c r="CX98" s="1008"/>
      <c r="CY98" s="1008"/>
      <c r="CZ98" s="1008"/>
      <c r="DA98" s="1008"/>
      <c r="DB98" s="1008"/>
      <c r="DC98" s="1008"/>
      <c r="DD98" s="1008"/>
      <c r="DE98" s="1008"/>
      <c r="DF98" s="1008"/>
      <c r="DG98" s="1008"/>
      <c r="DH98" s="1008"/>
      <c r="DI98" s="1011">
        <f t="shared" si="84"/>
        <v>0.97415704000000003</v>
      </c>
      <c r="DJ98" s="1008">
        <f t="shared" si="85"/>
        <v>24353926</v>
      </c>
      <c r="DK98" s="1008"/>
      <c r="DL98" s="1008">
        <f>AA98-CP98</f>
        <v>0</v>
      </c>
      <c r="DM98" s="1008">
        <f>AB98-CQ98</f>
        <v>0</v>
      </c>
      <c r="DN98" s="1008">
        <f t="shared" si="86"/>
        <v>0</v>
      </c>
      <c r="DO98" s="1008"/>
      <c r="DP98" s="1008">
        <f t="shared" si="87"/>
        <v>24353926</v>
      </c>
      <c r="DQ98" s="1008">
        <f t="shared" si="87"/>
        <v>0</v>
      </c>
      <c r="DR98" s="1008"/>
      <c r="DS98" s="1008">
        <f t="shared" si="88"/>
        <v>0</v>
      </c>
      <c r="DT98" s="1008">
        <f t="shared" si="88"/>
        <v>0</v>
      </c>
      <c r="DU98" s="1008"/>
      <c r="DV98" s="1008">
        <f t="shared" si="89"/>
        <v>0</v>
      </c>
      <c r="DW98" s="1008">
        <f t="shared" si="89"/>
        <v>0</v>
      </c>
      <c r="DX98" s="1008">
        <f t="shared" si="89"/>
        <v>0</v>
      </c>
      <c r="DY98" s="1008">
        <f t="shared" si="90"/>
        <v>0</v>
      </c>
      <c r="DZ98" s="1008">
        <f t="shared" si="90"/>
        <v>0</v>
      </c>
      <c r="EA98" s="1008">
        <f t="shared" si="90"/>
        <v>0</v>
      </c>
      <c r="EB98" s="1008">
        <f t="shared" si="90"/>
        <v>0</v>
      </c>
      <c r="EC98" s="1008"/>
      <c r="ED98" s="1008">
        <f t="shared" si="91"/>
        <v>0</v>
      </c>
    </row>
    <row r="99" spans="1:134" s="203" customFormat="1" ht="39.75" customHeight="1" x14ac:dyDescent="0.25">
      <c r="A99" s="1565"/>
      <c r="B99" s="1593" t="s">
        <v>4363</v>
      </c>
      <c r="C99" s="1595" t="s">
        <v>4436</v>
      </c>
      <c r="D99" s="1557" t="s">
        <v>4628</v>
      </c>
      <c r="E99" s="1593">
        <v>520</v>
      </c>
      <c r="F99" s="1399" t="s">
        <v>3350</v>
      </c>
      <c r="G99" s="1399">
        <v>10000000</v>
      </c>
      <c r="H99" s="1061">
        <f t="shared" si="70"/>
        <v>0</v>
      </c>
      <c r="I99" s="1061">
        <f t="shared" si="71"/>
        <v>0</v>
      </c>
      <c r="J99" s="1097" t="s">
        <v>4929</v>
      </c>
      <c r="K99" s="1093" t="s">
        <v>4931</v>
      </c>
      <c r="L99" s="1093" t="s">
        <v>4931</v>
      </c>
      <c r="M99" s="1075">
        <v>0</v>
      </c>
      <c r="N99" s="1075">
        <v>0</v>
      </c>
      <c r="O99" s="1075">
        <v>0</v>
      </c>
      <c r="P99" s="1075"/>
      <c r="Q99" s="1075"/>
      <c r="R99" s="1075"/>
      <c r="S99" s="1097"/>
      <c r="T99" s="1097"/>
      <c r="U99" s="1097"/>
      <c r="V99" s="1097"/>
      <c r="W99" s="1097"/>
      <c r="X99" s="1097"/>
      <c r="Y99" s="1067">
        <f t="shared" si="72"/>
        <v>0</v>
      </c>
      <c r="Z99" s="149"/>
      <c r="AA99" s="149"/>
      <c r="AB99" s="149"/>
      <c r="AC99" s="149"/>
      <c r="AD99" s="149"/>
      <c r="AE99" s="1067">
        <f>10000000-10000000</f>
        <v>0</v>
      </c>
      <c r="AF99" s="149"/>
      <c r="AG99" s="149"/>
      <c r="AH99" s="149"/>
      <c r="AI99" s="149"/>
      <c r="AJ99" s="149"/>
      <c r="AK99" s="149"/>
      <c r="AL99" s="149"/>
      <c r="AM99" s="149"/>
      <c r="AN99" s="1067">
        <f>10000000-10000000</f>
        <v>0</v>
      </c>
      <c r="AO99" s="1067"/>
      <c r="AP99" s="1067"/>
      <c r="AQ99" s="1067"/>
      <c r="AR99" s="1067"/>
      <c r="AS99" s="1067"/>
      <c r="AU99" s="1082" t="e">
        <f t="shared" si="73"/>
        <v>#DIV/0!</v>
      </c>
      <c r="AV99" s="1067">
        <f t="shared" si="74"/>
        <v>0</v>
      </c>
      <c r="AW99" s="1067"/>
      <c r="AX99" s="1067"/>
      <c r="AY99" s="1067"/>
      <c r="AZ99" s="1067"/>
      <c r="BA99" s="1067"/>
      <c r="BB99" s="1067">
        <f>+'[9]FEBRERO 2015'!$N$1228-10000000</f>
        <v>0</v>
      </c>
      <c r="BC99" s="1067"/>
      <c r="BD99" s="1067"/>
      <c r="BE99" s="1067"/>
      <c r="BF99" s="1067"/>
      <c r="BG99" s="1067"/>
      <c r="BH99" s="1067"/>
      <c r="BI99" s="1067"/>
      <c r="BJ99" s="1067"/>
      <c r="BK99" s="1067">
        <f>+'[8]FEBRERO 2015'!$W$1302-10000000</f>
        <v>0</v>
      </c>
      <c r="BL99" s="1067"/>
      <c r="BM99" s="1067"/>
      <c r="BN99" s="1067"/>
      <c r="BO99" s="1067"/>
      <c r="BP99" s="1067"/>
      <c r="BQ99" s="1082" t="e">
        <f t="shared" si="94"/>
        <v>#DIV/0!</v>
      </c>
      <c r="BR99" s="1067">
        <f t="shared" si="75"/>
        <v>0</v>
      </c>
      <c r="BS99" s="1067">
        <f t="shared" si="76"/>
        <v>0</v>
      </c>
      <c r="BT99" s="1067">
        <f t="shared" si="77"/>
        <v>0</v>
      </c>
      <c r="BU99" s="1067"/>
      <c r="BV99" s="1067">
        <f t="shared" si="78"/>
        <v>0</v>
      </c>
      <c r="BW99" s="1067"/>
      <c r="BX99" s="1067">
        <f t="shared" si="79"/>
        <v>0</v>
      </c>
      <c r="BY99" s="1067">
        <f t="shared" si="79"/>
        <v>0</v>
      </c>
      <c r="BZ99" s="1067"/>
      <c r="CA99" s="1067">
        <f t="shared" si="92"/>
        <v>0</v>
      </c>
      <c r="CB99" s="1067">
        <f t="shared" si="92"/>
        <v>0</v>
      </c>
      <c r="CC99" s="1067"/>
      <c r="CD99" s="1067">
        <f t="shared" si="93"/>
        <v>0</v>
      </c>
      <c r="CE99" s="1067">
        <f t="shared" si="93"/>
        <v>0</v>
      </c>
      <c r="CF99" s="1067">
        <f t="shared" si="93"/>
        <v>0</v>
      </c>
      <c r="CG99" s="1067">
        <f t="shared" si="93"/>
        <v>0</v>
      </c>
      <c r="CH99" s="1067">
        <f t="shared" si="93"/>
        <v>0</v>
      </c>
      <c r="CI99" s="1067">
        <f t="shared" si="93"/>
        <v>0</v>
      </c>
      <c r="CJ99" s="1067"/>
      <c r="CK99" s="1067"/>
      <c r="CL99" s="1067">
        <f t="shared" si="81"/>
        <v>0</v>
      </c>
      <c r="CM99" s="1082" t="e">
        <f t="shared" si="82"/>
        <v>#DIV/0!</v>
      </c>
      <c r="CN99" s="1067">
        <f t="shared" si="83"/>
        <v>0</v>
      </c>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82" t="e">
        <f t="shared" si="84"/>
        <v>#DIV/0!</v>
      </c>
      <c r="DJ99" s="1067">
        <f t="shared" si="85"/>
        <v>0</v>
      </c>
      <c r="DK99" s="1067"/>
      <c r="DL99" s="1067"/>
      <c r="DM99" s="1067"/>
      <c r="DN99" s="1067">
        <f t="shared" si="86"/>
        <v>0</v>
      </c>
      <c r="DO99" s="1067"/>
      <c r="DP99" s="1067">
        <f t="shared" si="87"/>
        <v>0</v>
      </c>
      <c r="DQ99" s="1067">
        <f t="shared" si="87"/>
        <v>0</v>
      </c>
      <c r="DR99" s="1067"/>
      <c r="DS99" s="1067">
        <f t="shared" si="88"/>
        <v>0</v>
      </c>
      <c r="DT99" s="1067">
        <f t="shared" si="88"/>
        <v>0</v>
      </c>
      <c r="DU99" s="1067"/>
      <c r="DV99" s="1067">
        <f t="shared" si="89"/>
        <v>0</v>
      </c>
      <c r="DW99" s="1067">
        <f t="shared" si="89"/>
        <v>0</v>
      </c>
      <c r="DX99" s="1067">
        <f t="shared" si="89"/>
        <v>0</v>
      </c>
      <c r="DY99" s="1067">
        <f t="shared" si="90"/>
        <v>0</v>
      </c>
      <c r="DZ99" s="1067">
        <f t="shared" si="90"/>
        <v>0</v>
      </c>
      <c r="EA99" s="1067">
        <f t="shared" si="90"/>
        <v>0</v>
      </c>
      <c r="EB99" s="1067">
        <f t="shared" si="90"/>
        <v>0</v>
      </c>
      <c r="EC99" s="1067"/>
      <c r="ED99" s="1067">
        <f t="shared" si="91"/>
        <v>0</v>
      </c>
    </row>
    <row r="100" spans="1:134" s="203" customFormat="1" ht="25.5" hidden="1" customHeight="1" x14ac:dyDescent="0.25">
      <c r="A100" s="1565"/>
      <c r="B100" s="1594"/>
      <c r="C100" s="1596"/>
      <c r="D100" s="1558"/>
      <c r="E100" s="1594"/>
      <c r="F100" s="1401"/>
      <c r="G100" s="1401"/>
      <c r="H100" s="1061"/>
      <c r="I100" s="1061"/>
      <c r="J100" s="1097" t="s">
        <v>4930</v>
      </c>
      <c r="K100" s="1093" t="s">
        <v>4932</v>
      </c>
      <c r="L100" s="1093" t="s">
        <v>4932</v>
      </c>
      <c r="M100" s="1075">
        <v>0</v>
      </c>
      <c r="N100" s="1075">
        <v>0</v>
      </c>
      <c r="O100" s="1075">
        <v>0</v>
      </c>
      <c r="P100" s="1075"/>
      <c r="Q100" s="1075"/>
      <c r="R100" s="1075"/>
      <c r="S100" s="1097"/>
      <c r="T100" s="1097"/>
      <c r="U100" s="1097"/>
      <c r="V100" s="1097"/>
      <c r="W100" s="1097"/>
      <c r="X100" s="1097"/>
      <c r="Y100" s="1067"/>
      <c r="Z100" s="149"/>
      <c r="AA100" s="149"/>
      <c r="AB100" s="149"/>
      <c r="AC100" s="149"/>
      <c r="AD100" s="149"/>
      <c r="AE100" s="1084"/>
      <c r="AF100" s="149"/>
      <c r="AG100" s="149"/>
      <c r="AH100" s="149"/>
      <c r="AI100" s="149"/>
      <c r="AJ100" s="149"/>
      <c r="AK100" s="149"/>
      <c r="AL100" s="149"/>
      <c r="AM100" s="149"/>
      <c r="AN100" s="1067"/>
      <c r="AO100" s="1067"/>
      <c r="AP100" s="1067"/>
      <c r="AQ100" s="1067"/>
      <c r="AR100" s="1067"/>
      <c r="AS100" s="1067"/>
      <c r="AU100" s="1082"/>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82"/>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82"/>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82"/>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row>
    <row r="101" spans="1:134" ht="23.25" customHeight="1" x14ac:dyDescent="0.25">
      <c r="A101" s="1565"/>
      <c r="B101" s="1019" t="s">
        <v>4364</v>
      </c>
      <c r="C101" s="1094" t="s">
        <v>4437</v>
      </c>
      <c r="D101" s="1019" t="s">
        <v>4629</v>
      </c>
      <c r="E101" s="1020">
        <v>520</v>
      </c>
      <c r="F101" s="1097" t="s">
        <v>3350</v>
      </c>
      <c r="G101" s="1399">
        <v>361000000</v>
      </c>
      <c r="H101" s="1061">
        <f t="shared" si="70"/>
        <v>95407747</v>
      </c>
      <c r="I101" s="1061">
        <f>Y101-H101</f>
        <v>76743460</v>
      </c>
      <c r="J101" s="1103" t="s">
        <v>4895</v>
      </c>
      <c r="K101" s="1109" t="s">
        <v>4899</v>
      </c>
      <c r="L101" s="1109" t="s">
        <v>4901</v>
      </c>
      <c r="M101" s="1093">
        <v>24</v>
      </c>
      <c r="N101" s="1093">
        <v>0</v>
      </c>
      <c r="O101" s="1093">
        <v>0</v>
      </c>
      <c r="P101" s="1093">
        <v>54</v>
      </c>
      <c r="Q101" s="1093">
        <v>50</v>
      </c>
      <c r="R101" s="1093">
        <v>27</v>
      </c>
      <c r="S101" s="1097"/>
      <c r="T101" s="1097"/>
      <c r="U101" s="1097"/>
      <c r="V101" s="1097"/>
      <c r="W101" s="1097"/>
      <c r="X101" s="1097"/>
      <c r="Y101" s="1008">
        <f t="shared" si="72"/>
        <v>172151207</v>
      </c>
      <c r="Z101" s="944"/>
      <c r="AA101" s="944"/>
      <c r="AB101" s="944"/>
      <c r="AC101" s="1008">
        <f>80000000-72884540-7115460</f>
        <v>0</v>
      </c>
      <c r="AD101" s="1008">
        <v>72884540</v>
      </c>
      <c r="AE101" s="1017">
        <f>170000000-80733333</f>
        <v>89266667</v>
      </c>
      <c r="AF101" s="944"/>
      <c r="AG101" s="944"/>
      <c r="AH101" s="944"/>
      <c r="AI101" s="944"/>
      <c r="AJ101" s="944"/>
      <c r="AK101" s="149"/>
      <c r="AL101" s="944"/>
      <c r="AM101" s="944"/>
      <c r="AN101" s="1008">
        <v>10000000</v>
      </c>
      <c r="AO101" s="1008"/>
      <c r="AP101" s="1008"/>
      <c r="AQ101" s="1008"/>
      <c r="AR101" s="1008"/>
      <c r="AS101" s="1008"/>
      <c r="AT101" s="203"/>
      <c r="AU101" s="1011">
        <f t="shared" si="73"/>
        <v>1</v>
      </c>
      <c r="AV101" s="1008">
        <f t="shared" si="74"/>
        <v>172151207</v>
      </c>
      <c r="AW101" s="1008"/>
      <c r="AX101" s="1008"/>
      <c r="AY101" s="1008"/>
      <c r="AZ101" s="1008"/>
      <c r="BA101" s="1008">
        <f>+'[18]OCTUBRE 2015'!$N$4227</f>
        <v>72884540</v>
      </c>
      <c r="BB101" s="1008">
        <f>+'[8]FEBRERO 2015'!$N$1309</f>
        <v>89266667</v>
      </c>
      <c r="BC101" s="1008"/>
      <c r="BD101" s="1008"/>
      <c r="BE101" s="1008"/>
      <c r="BF101" s="1008"/>
      <c r="BG101" s="1008"/>
      <c r="BH101" s="1008"/>
      <c r="BI101" s="1008"/>
      <c r="BJ101" s="1008"/>
      <c r="BK101" s="1008">
        <f>+'[8]FEBRERO 2015'!$W$1309</f>
        <v>10000000</v>
      </c>
      <c r="BL101" s="1008"/>
      <c r="BM101" s="1008"/>
      <c r="BN101" s="1008"/>
      <c r="BO101" s="1008"/>
      <c r="BP101" s="1008"/>
      <c r="BQ101" s="1011">
        <f t="shared" si="94"/>
        <v>0</v>
      </c>
      <c r="BR101" s="1008">
        <f t="shared" si="75"/>
        <v>0</v>
      </c>
      <c r="BS101" s="1008">
        <f t="shared" si="76"/>
        <v>0</v>
      </c>
      <c r="BT101" s="1008">
        <f t="shared" si="77"/>
        <v>0</v>
      </c>
      <c r="BU101" s="1008"/>
      <c r="BV101" s="1008">
        <f t="shared" si="78"/>
        <v>0</v>
      </c>
      <c r="BW101" s="1008">
        <f>AD101-BA101</f>
        <v>0</v>
      </c>
      <c r="BX101" s="1008">
        <f t="shared" si="79"/>
        <v>0</v>
      </c>
      <c r="BY101" s="1008">
        <f t="shared" si="79"/>
        <v>0</v>
      </c>
      <c r="BZ101" s="1008"/>
      <c r="CA101" s="1008">
        <f t="shared" si="92"/>
        <v>0</v>
      </c>
      <c r="CB101" s="1008">
        <f t="shared" si="92"/>
        <v>0</v>
      </c>
      <c r="CC101" s="1008"/>
      <c r="CD101" s="1008">
        <f t="shared" si="93"/>
        <v>0</v>
      </c>
      <c r="CE101" s="1008">
        <f t="shared" si="93"/>
        <v>0</v>
      </c>
      <c r="CF101" s="1008">
        <f t="shared" si="93"/>
        <v>0</v>
      </c>
      <c r="CG101" s="1008">
        <f t="shared" si="93"/>
        <v>0</v>
      </c>
      <c r="CH101" s="1008">
        <f t="shared" si="93"/>
        <v>0</v>
      </c>
      <c r="CI101" s="1008">
        <f t="shared" si="93"/>
        <v>0</v>
      </c>
      <c r="CJ101" s="1008"/>
      <c r="CK101" s="1008"/>
      <c r="CL101" s="1008">
        <f t="shared" si="81"/>
        <v>0</v>
      </c>
      <c r="CM101" s="1011">
        <f t="shared" si="82"/>
        <v>0.55420899256314826</v>
      </c>
      <c r="CN101" s="1008">
        <f t="shared" si="83"/>
        <v>95407747</v>
      </c>
      <c r="CO101" s="1008"/>
      <c r="CP101" s="1008"/>
      <c r="CQ101" s="1008"/>
      <c r="CR101" s="1008"/>
      <c r="CS101" s="1008"/>
      <c r="CT101" s="1008">
        <f>+'[18]OCTUBRE 2015'!$H$4228+'[18]OCTUBRE 2015'!$H$4234</f>
        <v>85407747</v>
      </c>
      <c r="CU101" s="1008"/>
      <c r="CV101" s="1008"/>
      <c r="CW101" s="1008"/>
      <c r="CX101" s="1008"/>
      <c r="CY101" s="1008"/>
      <c r="CZ101" s="1008"/>
      <c r="DA101" s="1008"/>
      <c r="DB101" s="1008"/>
      <c r="DC101" s="1008">
        <f>+'[14]JUNIO 2015'!$H$2333</f>
        <v>10000000</v>
      </c>
      <c r="DD101" s="1008"/>
      <c r="DE101" s="1008"/>
      <c r="DF101" s="1008"/>
      <c r="DG101" s="1008"/>
      <c r="DH101" s="1008"/>
      <c r="DI101" s="1011">
        <f t="shared" si="84"/>
        <v>0.44579100743685174</v>
      </c>
      <c r="DJ101" s="1008">
        <f t="shared" si="85"/>
        <v>76743460</v>
      </c>
      <c r="DK101" s="1008"/>
      <c r="DL101" s="1008"/>
      <c r="DM101" s="1008"/>
      <c r="DN101" s="1008">
        <f t="shared" si="86"/>
        <v>0</v>
      </c>
      <c r="DO101" s="1008">
        <f>AD101-CS101</f>
        <v>72884540</v>
      </c>
      <c r="DP101" s="1008">
        <f t="shared" si="87"/>
        <v>3858920</v>
      </c>
      <c r="DQ101" s="1008">
        <f t="shared" si="87"/>
        <v>0</v>
      </c>
      <c r="DR101" s="1008"/>
      <c r="DS101" s="1008">
        <f t="shared" si="88"/>
        <v>0</v>
      </c>
      <c r="DT101" s="1008">
        <f t="shared" si="88"/>
        <v>0</v>
      </c>
      <c r="DU101" s="1008"/>
      <c r="DV101" s="1008">
        <f t="shared" si="89"/>
        <v>0</v>
      </c>
      <c r="DW101" s="1008">
        <f t="shared" si="89"/>
        <v>0</v>
      </c>
      <c r="DX101" s="1008">
        <f t="shared" si="89"/>
        <v>0</v>
      </c>
      <c r="DY101" s="1008">
        <f t="shared" si="90"/>
        <v>0</v>
      </c>
      <c r="DZ101" s="1008">
        <f t="shared" si="90"/>
        <v>0</v>
      </c>
      <c r="EA101" s="1008">
        <f t="shared" si="90"/>
        <v>0</v>
      </c>
      <c r="EB101" s="1008">
        <f t="shared" si="90"/>
        <v>0</v>
      </c>
      <c r="EC101" s="1008"/>
      <c r="ED101" s="1008">
        <f t="shared" si="91"/>
        <v>0</v>
      </c>
    </row>
    <row r="102" spans="1:134" ht="33" customHeight="1" x14ac:dyDescent="0.25">
      <c r="A102" s="1565"/>
      <c r="B102" s="1029"/>
      <c r="C102" s="1094" t="s">
        <v>4438</v>
      </c>
      <c r="D102" s="1019" t="s">
        <v>4706</v>
      </c>
      <c r="E102" s="1020">
        <v>520</v>
      </c>
      <c r="F102" s="1097" t="s">
        <v>3350</v>
      </c>
      <c r="G102" s="1400"/>
      <c r="H102" s="1061">
        <f t="shared" si="70"/>
        <v>110733333</v>
      </c>
      <c r="I102" s="1061">
        <f>Y102-H102</f>
        <v>0</v>
      </c>
      <c r="J102" s="1097" t="s">
        <v>4896</v>
      </c>
      <c r="K102" s="1093" t="s">
        <v>4898</v>
      </c>
      <c r="L102" s="1093" t="s">
        <v>4902</v>
      </c>
      <c r="M102" s="1093">
        <v>58</v>
      </c>
      <c r="N102" s="1093">
        <v>5</v>
      </c>
      <c r="O102" s="1093">
        <v>3</v>
      </c>
      <c r="P102" s="1093">
        <v>100</v>
      </c>
      <c r="Q102" s="1093">
        <v>40</v>
      </c>
      <c r="R102" s="1093">
        <v>40</v>
      </c>
      <c r="S102" s="1097"/>
      <c r="T102" s="1097"/>
      <c r="U102" s="1097"/>
      <c r="V102" s="1097"/>
      <c r="W102" s="1097"/>
      <c r="X102" s="1097"/>
      <c r="Y102" s="1008">
        <f t="shared" si="72"/>
        <v>110733333</v>
      </c>
      <c r="Z102" s="944"/>
      <c r="AA102" s="944"/>
      <c r="AB102" s="944"/>
      <c r="AC102" s="1008">
        <f>70000000-70000000</f>
        <v>0</v>
      </c>
      <c r="AD102" s="1008"/>
      <c r="AE102" s="1008">
        <f>30000000+80733333</f>
        <v>110733333</v>
      </c>
      <c r="AF102" s="944"/>
      <c r="AG102" s="944"/>
      <c r="AH102" s="944"/>
      <c r="AI102" s="944"/>
      <c r="AJ102" s="944"/>
      <c r="AK102" s="149"/>
      <c r="AL102" s="944"/>
      <c r="AM102" s="944"/>
      <c r="AN102" s="1008"/>
      <c r="AO102" s="1008"/>
      <c r="AP102" s="1008"/>
      <c r="AQ102" s="1008"/>
      <c r="AR102" s="1008"/>
      <c r="AS102" s="1008"/>
      <c r="AT102" s="203"/>
      <c r="AU102" s="1011">
        <f t="shared" si="73"/>
        <v>1</v>
      </c>
      <c r="AV102" s="1008">
        <f t="shared" si="74"/>
        <v>110733333</v>
      </c>
      <c r="AW102" s="1008"/>
      <c r="AX102" s="1008"/>
      <c r="AY102" s="1008"/>
      <c r="AZ102" s="1008">
        <f>+'[10]MARZO 2015'!$L$1529-70000000</f>
        <v>0</v>
      </c>
      <c r="BA102" s="1008"/>
      <c r="BB102" s="1008">
        <f>+'[10]MARZO 2015'!$N$1529</f>
        <v>110733333</v>
      </c>
      <c r="BC102" s="1008"/>
      <c r="BD102" s="1008"/>
      <c r="BE102" s="1008"/>
      <c r="BF102" s="1008"/>
      <c r="BG102" s="1008"/>
      <c r="BH102" s="1008"/>
      <c r="BI102" s="1008"/>
      <c r="BJ102" s="1008"/>
      <c r="BK102" s="1008"/>
      <c r="BL102" s="1008"/>
      <c r="BM102" s="1008"/>
      <c r="BN102" s="1008"/>
      <c r="BO102" s="1008"/>
      <c r="BP102" s="1008"/>
      <c r="BQ102" s="1011">
        <f t="shared" si="94"/>
        <v>0</v>
      </c>
      <c r="BR102" s="1008">
        <f t="shared" si="75"/>
        <v>0</v>
      </c>
      <c r="BS102" s="1008">
        <f t="shared" si="76"/>
        <v>0</v>
      </c>
      <c r="BT102" s="1008">
        <f t="shared" si="77"/>
        <v>0</v>
      </c>
      <c r="BU102" s="1008"/>
      <c r="BV102" s="1008">
        <f t="shared" si="78"/>
        <v>0</v>
      </c>
      <c r="BW102" s="1008"/>
      <c r="BX102" s="1008">
        <f t="shared" si="79"/>
        <v>0</v>
      </c>
      <c r="BY102" s="1008">
        <f t="shared" si="79"/>
        <v>0</v>
      </c>
      <c r="BZ102" s="1008"/>
      <c r="CA102" s="1008">
        <f t="shared" si="92"/>
        <v>0</v>
      </c>
      <c r="CB102" s="1008">
        <f t="shared" si="92"/>
        <v>0</v>
      </c>
      <c r="CC102" s="1008"/>
      <c r="CD102" s="1008">
        <f t="shared" si="93"/>
        <v>0</v>
      </c>
      <c r="CE102" s="1008">
        <f t="shared" si="93"/>
        <v>0</v>
      </c>
      <c r="CF102" s="1008">
        <f t="shared" si="93"/>
        <v>0</v>
      </c>
      <c r="CG102" s="1008">
        <f t="shared" si="93"/>
        <v>0</v>
      </c>
      <c r="CH102" s="1008">
        <f t="shared" si="93"/>
        <v>0</v>
      </c>
      <c r="CI102" s="1008">
        <f t="shared" si="93"/>
        <v>0</v>
      </c>
      <c r="CJ102" s="1008"/>
      <c r="CK102" s="1008"/>
      <c r="CL102" s="1008">
        <f t="shared" si="81"/>
        <v>0</v>
      </c>
      <c r="CM102" s="1011">
        <f t="shared" si="82"/>
        <v>1</v>
      </c>
      <c r="CN102" s="1008">
        <f t="shared" si="83"/>
        <v>110733333</v>
      </c>
      <c r="CO102" s="1008"/>
      <c r="CP102" s="1008"/>
      <c r="CQ102" s="1008"/>
      <c r="CR102" s="1008"/>
      <c r="CS102" s="1008"/>
      <c r="CT102" s="1008">
        <f>+'[15]JULIO 2015'!$H$2722</f>
        <v>110733333</v>
      </c>
      <c r="CU102" s="1008"/>
      <c r="CV102" s="1008"/>
      <c r="CW102" s="1008"/>
      <c r="CX102" s="1008"/>
      <c r="CY102" s="1008"/>
      <c r="CZ102" s="1008"/>
      <c r="DA102" s="1008"/>
      <c r="DB102" s="1008"/>
      <c r="DC102" s="1008"/>
      <c r="DD102" s="1008"/>
      <c r="DE102" s="1008"/>
      <c r="DF102" s="1008"/>
      <c r="DG102" s="1008"/>
      <c r="DH102" s="1008"/>
      <c r="DI102" s="1011">
        <f t="shared" si="84"/>
        <v>0</v>
      </c>
      <c r="DJ102" s="1008">
        <f t="shared" si="85"/>
        <v>0</v>
      </c>
      <c r="DK102" s="1008"/>
      <c r="DL102" s="1008"/>
      <c r="DM102" s="1008"/>
      <c r="DN102" s="1008">
        <f t="shared" si="86"/>
        <v>0</v>
      </c>
      <c r="DO102" s="1008"/>
      <c r="DP102" s="1008">
        <f t="shared" si="87"/>
        <v>0</v>
      </c>
      <c r="DQ102" s="1008">
        <f t="shared" si="87"/>
        <v>0</v>
      </c>
      <c r="DR102" s="1008"/>
      <c r="DS102" s="1008">
        <f t="shared" si="88"/>
        <v>0</v>
      </c>
      <c r="DT102" s="1008">
        <f t="shared" si="88"/>
        <v>0</v>
      </c>
      <c r="DU102" s="1008"/>
      <c r="DV102" s="1008">
        <f t="shared" si="89"/>
        <v>0</v>
      </c>
      <c r="DW102" s="1008">
        <f t="shared" si="89"/>
        <v>0</v>
      </c>
      <c r="DX102" s="1008">
        <f t="shared" si="89"/>
        <v>0</v>
      </c>
      <c r="DY102" s="1008">
        <f t="shared" si="90"/>
        <v>0</v>
      </c>
      <c r="DZ102" s="1008">
        <f t="shared" si="90"/>
        <v>0</v>
      </c>
      <c r="EA102" s="1008">
        <f t="shared" si="90"/>
        <v>0</v>
      </c>
      <c r="EB102" s="1008">
        <f t="shared" si="90"/>
        <v>0</v>
      </c>
      <c r="EC102" s="1008"/>
      <c r="ED102" s="1008">
        <f t="shared" si="91"/>
        <v>0</v>
      </c>
    </row>
    <row r="103" spans="1:134" ht="40.5" customHeight="1" x14ac:dyDescent="0.25">
      <c r="A103" s="1565"/>
      <c r="B103" s="1029"/>
      <c r="C103" s="1094" t="s">
        <v>4439</v>
      </c>
      <c r="D103" s="1019" t="s">
        <v>4630</v>
      </c>
      <c r="E103" s="1020">
        <v>520</v>
      </c>
      <c r="F103" s="1097" t="s">
        <v>4933</v>
      </c>
      <c r="G103" s="1401"/>
      <c r="H103" s="1061">
        <f t="shared" si="70"/>
        <v>25523209</v>
      </c>
      <c r="I103" s="1061">
        <f>Y103-H103</f>
        <v>11889899</v>
      </c>
      <c r="J103" s="1097" t="s">
        <v>4897</v>
      </c>
      <c r="K103" s="1093" t="s">
        <v>4900</v>
      </c>
      <c r="L103" s="1093" t="s">
        <v>4903</v>
      </c>
      <c r="M103" s="1093">
        <v>0</v>
      </c>
      <c r="N103" s="1093">
        <v>0</v>
      </c>
      <c r="O103" s="1093">
        <v>0</v>
      </c>
      <c r="P103" s="1093">
        <v>22</v>
      </c>
      <c r="Q103" s="1093">
        <v>0</v>
      </c>
      <c r="R103" s="1093">
        <v>0</v>
      </c>
      <c r="S103" s="1097"/>
      <c r="T103" s="1097"/>
      <c r="U103" s="1097"/>
      <c r="V103" s="1097"/>
      <c r="W103" s="1097"/>
      <c r="X103" s="1097"/>
      <c r="Y103" s="1008">
        <f t="shared" si="72"/>
        <v>37413108</v>
      </c>
      <c r="Z103" s="944"/>
      <c r="AA103" s="944"/>
      <c r="AB103" s="944"/>
      <c r="AC103" s="944"/>
      <c r="AD103" s="944"/>
      <c r="AE103" s="944"/>
      <c r="AF103" s="944"/>
      <c r="AG103" s="944"/>
      <c r="AH103" s="944"/>
      <c r="AI103" s="944"/>
      <c r="AJ103" s="944"/>
      <c r="AK103" s="149"/>
      <c r="AL103" s="944"/>
      <c r="AM103" s="944"/>
      <c r="AN103" s="1008"/>
      <c r="AO103" s="1008"/>
      <c r="AP103" s="1008"/>
      <c r="AQ103" s="1008"/>
      <c r="AR103" s="1008"/>
      <c r="AS103" s="1008">
        <f>3000000+8000000+20123209+4455882+1834017</f>
        <v>37413108</v>
      </c>
      <c r="AT103" s="203"/>
      <c r="AU103" s="1011">
        <f t="shared" si="73"/>
        <v>0.73715049281658185</v>
      </c>
      <c r="AV103" s="1008">
        <f t="shared" si="74"/>
        <v>27579091</v>
      </c>
      <c r="AW103" s="1008"/>
      <c r="AX103" s="1008"/>
      <c r="AY103" s="1008"/>
      <c r="AZ103" s="1008"/>
      <c r="BA103" s="1008"/>
      <c r="BB103" s="1008"/>
      <c r="BC103" s="1008"/>
      <c r="BD103" s="1008"/>
      <c r="BE103" s="1008"/>
      <c r="BF103" s="1008"/>
      <c r="BG103" s="1008"/>
      <c r="BH103" s="1008"/>
      <c r="BI103" s="1008"/>
      <c r="BJ103" s="1008"/>
      <c r="BK103" s="1008"/>
      <c r="BL103" s="1008"/>
      <c r="BM103" s="1008"/>
      <c r="BN103" s="1008"/>
      <c r="BO103" s="1008"/>
      <c r="BP103" s="1008">
        <f>+'[15]JULIO 2015'!$AD$2743</f>
        <v>27579091</v>
      </c>
      <c r="BQ103" s="1011">
        <f t="shared" si="94"/>
        <v>0.26284950718341815</v>
      </c>
      <c r="BR103" s="1008">
        <f t="shared" si="75"/>
        <v>9834017</v>
      </c>
      <c r="BS103" s="1008">
        <f t="shared" si="76"/>
        <v>0</v>
      </c>
      <c r="BT103" s="1008">
        <f t="shared" si="77"/>
        <v>0</v>
      </c>
      <c r="BU103" s="1008"/>
      <c r="BV103" s="1008">
        <f t="shared" si="78"/>
        <v>0</v>
      </c>
      <c r="BW103" s="1008"/>
      <c r="BX103" s="1008">
        <f t="shared" si="79"/>
        <v>0</v>
      </c>
      <c r="BY103" s="1008">
        <f t="shared" si="79"/>
        <v>0</v>
      </c>
      <c r="BZ103" s="1008"/>
      <c r="CA103" s="1008">
        <f t="shared" si="92"/>
        <v>0</v>
      </c>
      <c r="CB103" s="1008">
        <f t="shared" si="92"/>
        <v>0</v>
      </c>
      <c r="CC103" s="1008"/>
      <c r="CD103" s="1008">
        <f t="shared" si="93"/>
        <v>0</v>
      </c>
      <c r="CE103" s="1008">
        <f t="shared" si="93"/>
        <v>0</v>
      </c>
      <c r="CF103" s="1008">
        <f t="shared" si="93"/>
        <v>0</v>
      </c>
      <c r="CG103" s="1008">
        <f t="shared" si="93"/>
        <v>0</v>
      </c>
      <c r="CH103" s="1008">
        <f t="shared" si="93"/>
        <v>0</v>
      </c>
      <c r="CI103" s="1008">
        <f t="shared" si="93"/>
        <v>0</v>
      </c>
      <c r="CJ103" s="1008"/>
      <c r="CK103" s="1008"/>
      <c r="CL103" s="1008">
        <f t="shared" si="81"/>
        <v>9834017</v>
      </c>
      <c r="CM103" s="1011">
        <f t="shared" si="82"/>
        <v>0.68219964510834008</v>
      </c>
      <c r="CN103" s="1008">
        <f t="shared" si="83"/>
        <v>25523209</v>
      </c>
      <c r="CO103" s="1008"/>
      <c r="CP103" s="1008"/>
      <c r="CQ103" s="1008"/>
      <c r="CR103" s="1008"/>
      <c r="CS103" s="1008"/>
      <c r="CT103" s="1008"/>
      <c r="CU103" s="1008"/>
      <c r="CV103" s="1008"/>
      <c r="CW103" s="1008"/>
      <c r="CX103" s="1008"/>
      <c r="CY103" s="1008"/>
      <c r="CZ103" s="1008"/>
      <c r="DA103" s="1008"/>
      <c r="DB103" s="1008"/>
      <c r="DC103" s="1008"/>
      <c r="DD103" s="1008"/>
      <c r="DE103" s="1008"/>
      <c r="DF103" s="1008"/>
      <c r="DG103" s="1008"/>
      <c r="DH103" s="1008">
        <f>+'[18]OCTUBRE 2015'!$H$4271</f>
        <v>25523209</v>
      </c>
      <c r="DI103" s="1011">
        <f t="shared" si="84"/>
        <v>0.31780035489165992</v>
      </c>
      <c r="DJ103" s="1008">
        <f t="shared" si="85"/>
        <v>11889899</v>
      </c>
      <c r="DK103" s="1008"/>
      <c r="DL103" s="1008"/>
      <c r="DM103" s="1008"/>
      <c r="DN103" s="1008">
        <f t="shared" si="86"/>
        <v>0</v>
      </c>
      <c r="DO103" s="1008"/>
      <c r="DP103" s="1008">
        <f t="shared" si="87"/>
        <v>0</v>
      </c>
      <c r="DQ103" s="1008">
        <f t="shared" si="87"/>
        <v>0</v>
      </c>
      <c r="DR103" s="1008"/>
      <c r="DS103" s="1008">
        <f t="shared" si="88"/>
        <v>0</v>
      </c>
      <c r="DT103" s="1008">
        <f t="shared" si="88"/>
        <v>0</v>
      </c>
      <c r="DU103" s="1008"/>
      <c r="DV103" s="1008">
        <f t="shared" si="89"/>
        <v>0</v>
      </c>
      <c r="DW103" s="1008">
        <f t="shared" si="89"/>
        <v>0</v>
      </c>
      <c r="DX103" s="1008">
        <f t="shared" si="89"/>
        <v>0</v>
      </c>
      <c r="DY103" s="1008">
        <f t="shared" si="90"/>
        <v>0</v>
      </c>
      <c r="DZ103" s="1008">
        <f t="shared" si="90"/>
        <v>0</v>
      </c>
      <c r="EA103" s="1008">
        <f t="shared" si="90"/>
        <v>0</v>
      </c>
      <c r="EB103" s="1008">
        <f t="shared" si="90"/>
        <v>0</v>
      </c>
      <c r="EC103" s="1008"/>
      <c r="ED103" s="1008">
        <f t="shared" si="91"/>
        <v>11889899</v>
      </c>
    </row>
    <row r="104" spans="1:134" s="948" customFormat="1" ht="21" customHeight="1" thickBot="1" x14ac:dyDescent="0.3">
      <c r="A104" s="1002"/>
      <c r="B104" s="1554" t="s">
        <v>4365</v>
      </c>
      <c r="C104" s="1555"/>
      <c r="D104" s="1555"/>
      <c r="E104" s="1555"/>
      <c r="F104" s="1556"/>
      <c r="G104" s="1009">
        <f>SUM(G68:G103)</f>
        <v>2832000000</v>
      </c>
      <c r="H104" s="1009">
        <f>SUM(H68:H103)</f>
        <v>1966515918</v>
      </c>
      <c r="I104" s="1009">
        <f>SUM(I68:I103)</f>
        <v>1022725353</v>
      </c>
      <c r="J104" s="1106"/>
      <c r="K104" s="1105"/>
      <c r="L104" s="1105"/>
      <c r="M104" s="1105"/>
      <c r="N104" s="1105"/>
      <c r="O104" s="1105"/>
      <c r="P104" s="1105"/>
      <c r="Q104" s="1105"/>
      <c r="R104" s="1105"/>
      <c r="S104" s="1106"/>
      <c r="T104" s="1106"/>
      <c r="U104" s="1106"/>
      <c r="V104" s="1106"/>
      <c r="W104" s="1106"/>
      <c r="X104" s="1106"/>
      <c r="Y104" s="1009">
        <f t="shared" ref="Y104:AS104" si="95">SUM(Y68:Y103)</f>
        <v>2989241271</v>
      </c>
      <c r="Z104" s="1009">
        <f t="shared" si="95"/>
        <v>0</v>
      </c>
      <c r="AA104" s="1009">
        <f t="shared" si="95"/>
        <v>0</v>
      </c>
      <c r="AB104" s="1009">
        <f t="shared" si="95"/>
        <v>0</v>
      </c>
      <c r="AC104" s="1009">
        <f t="shared" si="95"/>
        <v>50000000</v>
      </c>
      <c r="AD104" s="1009">
        <f t="shared" si="95"/>
        <v>72884540</v>
      </c>
      <c r="AE104" s="1009">
        <f t="shared" si="95"/>
        <v>660000000</v>
      </c>
      <c r="AF104" s="1009">
        <f t="shared" si="95"/>
        <v>923014856</v>
      </c>
      <c r="AG104" s="1009">
        <f t="shared" si="95"/>
        <v>0</v>
      </c>
      <c r="AH104" s="1009">
        <f t="shared" si="95"/>
        <v>0</v>
      </c>
      <c r="AI104" s="1009">
        <f t="shared" si="95"/>
        <v>0</v>
      </c>
      <c r="AJ104" s="1009">
        <f t="shared" si="95"/>
        <v>0</v>
      </c>
      <c r="AK104" s="1009">
        <f t="shared" si="95"/>
        <v>0</v>
      </c>
      <c r="AL104" s="1009">
        <f t="shared" si="95"/>
        <v>610864435</v>
      </c>
      <c r="AM104" s="1009">
        <f t="shared" si="95"/>
        <v>0</v>
      </c>
      <c r="AN104" s="1009">
        <f t="shared" si="95"/>
        <v>75000000</v>
      </c>
      <c r="AO104" s="1009">
        <f t="shared" si="95"/>
        <v>0</v>
      </c>
      <c r="AP104" s="1009">
        <f t="shared" si="95"/>
        <v>0</v>
      </c>
      <c r="AQ104" s="1009">
        <f t="shared" si="95"/>
        <v>0</v>
      </c>
      <c r="AR104" s="1009">
        <f t="shared" si="95"/>
        <v>0</v>
      </c>
      <c r="AS104" s="1009">
        <f t="shared" si="95"/>
        <v>597477440</v>
      </c>
      <c r="AU104" s="1012">
        <f t="shared" si="73"/>
        <v>0.82265790415015316</v>
      </c>
      <c r="AV104" s="1009">
        <f>SUM(AV68:AV103)</f>
        <v>2459122959</v>
      </c>
      <c r="AW104" s="1009">
        <f>SUM(AW68:AW103)</f>
        <v>0</v>
      </c>
      <c r="AX104" s="1009">
        <f>SUM(AX68:AX103)</f>
        <v>0</v>
      </c>
      <c r="AY104" s="1009"/>
      <c r="AZ104" s="1009">
        <f>SUM(AZ68:AZ103)</f>
        <v>40000000</v>
      </c>
      <c r="BA104" s="1009"/>
      <c r="BB104" s="1009">
        <f t="shared" ref="BB104:BP104" si="96">SUM(BB68:BB103)</f>
        <v>636973277</v>
      </c>
      <c r="BC104" s="1009">
        <f t="shared" si="96"/>
        <v>845000000</v>
      </c>
      <c r="BD104" s="1009">
        <f t="shared" si="96"/>
        <v>0</v>
      </c>
      <c r="BE104" s="1009">
        <f t="shared" si="96"/>
        <v>0</v>
      </c>
      <c r="BF104" s="1009">
        <f t="shared" si="96"/>
        <v>0</v>
      </c>
      <c r="BG104" s="1009">
        <f t="shared" si="96"/>
        <v>0</v>
      </c>
      <c r="BH104" s="1009">
        <f t="shared" si="96"/>
        <v>0</v>
      </c>
      <c r="BI104" s="1009">
        <f t="shared" si="96"/>
        <v>244660776</v>
      </c>
      <c r="BJ104" s="1009">
        <f t="shared" si="96"/>
        <v>0</v>
      </c>
      <c r="BK104" s="1009">
        <f t="shared" si="96"/>
        <v>66597464</v>
      </c>
      <c r="BL104" s="1009">
        <f t="shared" si="96"/>
        <v>0</v>
      </c>
      <c r="BM104" s="1009">
        <f t="shared" si="96"/>
        <v>0</v>
      </c>
      <c r="BN104" s="1009">
        <f t="shared" si="96"/>
        <v>0</v>
      </c>
      <c r="BO104" s="1009">
        <f t="shared" si="96"/>
        <v>0</v>
      </c>
      <c r="BP104" s="1009">
        <f t="shared" si="96"/>
        <v>553006902</v>
      </c>
      <c r="BQ104" s="1012">
        <f t="shared" si="94"/>
        <v>0.17734209584984684</v>
      </c>
      <c r="BR104" s="1009">
        <f t="shared" ref="BR104:CL104" si="97">SUM(BR68:BR103)</f>
        <v>530118312</v>
      </c>
      <c r="BS104" s="1009">
        <f t="shared" si="97"/>
        <v>0</v>
      </c>
      <c r="BT104" s="1009">
        <f t="shared" si="97"/>
        <v>0</v>
      </c>
      <c r="BU104" s="1009">
        <f t="shared" si="97"/>
        <v>0</v>
      </c>
      <c r="BV104" s="1009">
        <f t="shared" si="97"/>
        <v>10000000</v>
      </c>
      <c r="BW104" s="1009">
        <f t="shared" si="97"/>
        <v>0</v>
      </c>
      <c r="BX104" s="1009">
        <f t="shared" si="97"/>
        <v>23026723</v>
      </c>
      <c r="BY104" s="1009">
        <f t="shared" si="97"/>
        <v>78014856</v>
      </c>
      <c r="BZ104" s="1009">
        <f t="shared" si="97"/>
        <v>0</v>
      </c>
      <c r="CA104" s="1009">
        <f t="shared" si="97"/>
        <v>0</v>
      </c>
      <c r="CB104" s="1009">
        <f t="shared" si="97"/>
        <v>0</v>
      </c>
      <c r="CC104" s="1009">
        <f t="shared" si="97"/>
        <v>0</v>
      </c>
      <c r="CD104" s="1009">
        <f t="shared" si="97"/>
        <v>0</v>
      </c>
      <c r="CE104" s="1009">
        <f t="shared" si="97"/>
        <v>366203659</v>
      </c>
      <c r="CF104" s="1009">
        <f t="shared" si="97"/>
        <v>0</v>
      </c>
      <c r="CG104" s="1009">
        <f t="shared" si="97"/>
        <v>8402536</v>
      </c>
      <c r="CH104" s="1009">
        <f t="shared" si="97"/>
        <v>0</v>
      </c>
      <c r="CI104" s="1009">
        <f t="shared" si="97"/>
        <v>0</v>
      </c>
      <c r="CJ104" s="1009">
        <f t="shared" si="97"/>
        <v>0</v>
      </c>
      <c r="CK104" s="1009">
        <f t="shared" si="97"/>
        <v>0</v>
      </c>
      <c r="CL104" s="1009">
        <f t="shared" si="97"/>
        <v>44470538</v>
      </c>
      <c r="CM104" s="1012">
        <f t="shared" si="82"/>
        <v>0.65786456820266481</v>
      </c>
      <c r="CN104" s="1009">
        <f>SUM(CN68:CN103)</f>
        <v>1966515918</v>
      </c>
      <c r="CO104" s="1009">
        <f>SUM(CO68:CO103)</f>
        <v>0</v>
      </c>
      <c r="CP104" s="1009">
        <f>SUM(CP68:CP103)</f>
        <v>0</v>
      </c>
      <c r="CQ104" s="1009"/>
      <c r="CR104" s="1009">
        <f>SUM(CR68:CR103)</f>
        <v>40000000</v>
      </c>
      <c r="CS104" s="1009"/>
      <c r="CT104" s="1009">
        <f>SUM(CT68:CT103)</f>
        <v>501581004</v>
      </c>
      <c r="CU104" s="1009">
        <f>SUM(CU68:CU103)</f>
        <v>707349678</v>
      </c>
      <c r="CV104" s="1009"/>
      <c r="CW104" s="1009">
        <f t="shared" ref="CW104:DH104" si="98">SUM(CW68:CW103)</f>
        <v>0</v>
      </c>
      <c r="CX104" s="1009">
        <f t="shared" si="98"/>
        <v>0</v>
      </c>
      <c r="CY104" s="1009">
        <f t="shared" si="98"/>
        <v>0</v>
      </c>
      <c r="CZ104" s="1009">
        <f t="shared" si="98"/>
        <v>0</v>
      </c>
      <c r="DA104" s="1009">
        <f t="shared" si="98"/>
        <v>151633574</v>
      </c>
      <c r="DB104" s="1009">
        <f t="shared" si="98"/>
        <v>0</v>
      </c>
      <c r="DC104" s="1009">
        <f t="shared" si="98"/>
        <v>54136664</v>
      </c>
      <c r="DD104" s="1009">
        <f t="shared" si="98"/>
        <v>0</v>
      </c>
      <c r="DE104" s="1009">
        <f t="shared" si="98"/>
        <v>0</v>
      </c>
      <c r="DF104" s="1009">
        <f t="shared" si="98"/>
        <v>0</v>
      </c>
      <c r="DG104" s="1009">
        <f t="shared" si="98"/>
        <v>0</v>
      </c>
      <c r="DH104" s="1009">
        <f t="shared" si="98"/>
        <v>511814998</v>
      </c>
      <c r="DI104" s="1012">
        <f t="shared" si="84"/>
        <v>0.34213543179733519</v>
      </c>
      <c r="DJ104" s="1009">
        <f>SUM(DJ68:DJ103)</f>
        <v>1022725353</v>
      </c>
      <c r="DK104" s="1009">
        <f>SUM(DK68:DK103)</f>
        <v>0</v>
      </c>
      <c r="DL104" s="1009">
        <f>SUM(DL68:DL103)</f>
        <v>0</v>
      </c>
      <c r="DM104" s="1009"/>
      <c r="DN104" s="1009">
        <f t="shared" ref="DN104:ED104" si="99">SUM(DN68:DN103)</f>
        <v>10000000</v>
      </c>
      <c r="DO104" s="1009">
        <f t="shared" si="99"/>
        <v>72884540</v>
      </c>
      <c r="DP104" s="1009">
        <f t="shared" si="99"/>
        <v>158418996</v>
      </c>
      <c r="DQ104" s="1009">
        <f t="shared" si="99"/>
        <v>215665178</v>
      </c>
      <c r="DR104" s="1009">
        <f t="shared" si="99"/>
        <v>0</v>
      </c>
      <c r="DS104" s="1009">
        <f t="shared" si="99"/>
        <v>0</v>
      </c>
      <c r="DT104" s="1009">
        <f t="shared" si="99"/>
        <v>0</v>
      </c>
      <c r="DU104" s="1009">
        <f t="shared" si="99"/>
        <v>0</v>
      </c>
      <c r="DV104" s="1009">
        <f t="shared" si="99"/>
        <v>0</v>
      </c>
      <c r="DW104" s="1009">
        <f t="shared" si="99"/>
        <v>459230861</v>
      </c>
      <c r="DX104" s="1009">
        <f t="shared" si="99"/>
        <v>0</v>
      </c>
      <c r="DY104" s="1009">
        <f t="shared" si="99"/>
        <v>20863336</v>
      </c>
      <c r="DZ104" s="1009">
        <f t="shared" si="99"/>
        <v>0</v>
      </c>
      <c r="EA104" s="1009">
        <f t="shared" si="99"/>
        <v>0</v>
      </c>
      <c r="EB104" s="1009">
        <f t="shared" si="99"/>
        <v>0</v>
      </c>
      <c r="EC104" s="1009">
        <f t="shared" si="99"/>
        <v>0</v>
      </c>
      <c r="ED104" s="1037">
        <f t="shared" si="99"/>
        <v>85662442</v>
      </c>
    </row>
    <row r="105" spans="1:134" ht="6" customHeight="1" thickTop="1" x14ac:dyDescent="0.25">
      <c r="B105" s="1030"/>
      <c r="C105" s="1031"/>
      <c r="D105" s="1032"/>
      <c r="E105" s="998"/>
      <c r="F105" s="1033"/>
      <c r="G105" s="1033"/>
      <c r="H105" s="1033"/>
      <c r="I105" s="1033"/>
      <c r="J105" s="1033"/>
      <c r="K105" s="1076"/>
      <c r="L105" s="1076"/>
      <c r="M105" s="1076"/>
      <c r="N105" s="1076"/>
      <c r="O105" s="1076"/>
      <c r="P105" s="1076"/>
      <c r="Q105" s="1076"/>
      <c r="R105" s="1076"/>
      <c r="S105" s="1033"/>
      <c r="T105" s="1033"/>
      <c r="U105" s="1033"/>
      <c r="V105" s="1033"/>
      <c r="W105" s="1033"/>
      <c r="X105" s="1033"/>
      <c r="Y105" s="999"/>
      <c r="Z105" s="999"/>
      <c r="AA105" s="999"/>
      <c r="AB105" s="999"/>
      <c r="AC105" s="999"/>
      <c r="AD105" s="999"/>
      <c r="AE105" s="883"/>
      <c r="AF105" s="883"/>
      <c r="AG105" s="883"/>
      <c r="AH105" s="883"/>
      <c r="AI105" s="883"/>
      <c r="AJ105" s="883"/>
      <c r="AK105" s="883"/>
      <c r="AL105" s="883"/>
      <c r="AM105" s="883"/>
      <c r="AN105" s="883"/>
      <c r="AO105" s="883"/>
      <c r="AP105" s="883"/>
      <c r="AQ105" s="883"/>
      <c r="AR105" s="883"/>
      <c r="AS105" s="883"/>
      <c r="AT105" s="962"/>
      <c r="AU105" s="1000"/>
      <c r="AV105" s="150"/>
      <c r="AW105" s="150"/>
      <c r="AX105" s="150"/>
      <c r="AY105" s="150"/>
      <c r="AZ105" s="150"/>
      <c r="BA105" s="150"/>
      <c r="BB105" s="225"/>
      <c r="BC105" s="225"/>
      <c r="BD105" s="225"/>
      <c r="BE105" s="225"/>
      <c r="BF105" s="225"/>
      <c r="BG105" s="225"/>
      <c r="BH105" s="225"/>
      <c r="BI105" s="225"/>
      <c r="BJ105" s="225"/>
      <c r="BK105" s="225"/>
      <c r="BL105" s="225"/>
      <c r="BM105" s="225"/>
      <c r="BN105" s="225"/>
      <c r="BO105" s="225"/>
      <c r="BP105" s="225"/>
      <c r="BQ105" s="1006"/>
      <c r="BR105" s="150"/>
      <c r="BS105" s="150"/>
      <c r="BT105" s="150"/>
      <c r="BU105" s="150"/>
      <c r="BV105" s="150"/>
      <c r="BW105" s="150"/>
      <c r="BX105" s="227"/>
      <c r="BY105" s="227"/>
      <c r="BZ105" s="227"/>
      <c r="CA105" s="227"/>
      <c r="CB105" s="227"/>
      <c r="CC105" s="227"/>
      <c r="CD105" s="227"/>
      <c r="CE105" s="227"/>
      <c r="CF105" s="227"/>
      <c r="CG105" s="227"/>
      <c r="CH105" s="227"/>
      <c r="CI105" s="227"/>
      <c r="CJ105" s="227"/>
      <c r="CK105" s="227"/>
      <c r="CL105" s="227"/>
      <c r="CM105" s="1006"/>
      <c r="CN105" s="150"/>
      <c r="CO105" s="150"/>
      <c r="CP105" s="150"/>
      <c r="CQ105" s="150"/>
      <c r="CR105" s="150"/>
      <c r="CS105" s="150"/>
      <c r="CT105" s="225"/>
      <c r="CU105" s="225"/>
      <c r="CV105" s="225"/>
      <c r="CW105" s="225"/>
      <c r="CX105" s="225"/>
      <c r="CY105" s="225"/>
      <c r="CZ105" s="225"/>
      <c r="DA105" s="225"/>
      <c r="DB105" s="225"/>
      <c r="DC105" s="225"/>
      <c r="DD105" s="225"/>
      <c r="DE105" s="225"/>
      <c r="DF105" s="225"/>
      <c r="DG105" s="225"/>
      <c r="DH105" s="225"/>
      <c r="DI105" s="1006"/>
      <c r="DJ105" s="150"/>
      <c r="DK105" s="150"/>
      <c r="DL105" s="150"/>
      <c r="DM105" s="150"/>
      <c r="DN105" s="150"/>
      <c r="DO105" s="150"/>
      <c r="DP105" s="227"/>
      <c r="DQ105" s="227"/>
      <c r="DR105" s="227"/>
      <c r="DS105" s="227"/>
      <c r="DT105" s="227"/>
      <c r="DU105" s="227"/>
      <c r="DV105" s="227"/>
      <c r="DW105" s="227"/>
      <c r="DX105" s="227"/>
      <c r="DY105" s="227"/>
      <c r="DZ105" s="227"/>
      <c r="EA105" s="227"/>
      <c r="EB105" s="227"/>
      <c r="EC105" s="227"/>
      <c r="ED105" s="227"/>
    </row>
    <row r="106" spans="1:134" s="948" customFormat="1" ht="27.75" customHeight="1" x14ac:dyDescent="0.25">
      <c r="A106" s="1559" t="s">
        <v>3307</v>
      </c>
      <c r="B106" s="1019" t="s">
        <v>4366</v>
      </c>
      <c r="C106" s="1094" t="s">
        <v>4440</v>
      </c>
      <c r="D106" s="1019" t="s">
        <v>4631</v>
      </c>
      <c r="E106" s="1020">
        <v>301</v>
      </c>
      <c r="F106" s="1097" t="s">
        <v>4661</v>
      </c>
      <c r="G106" s="1399">
        <v>325000000</v>
      </c>
      <c r="H106" s="1061">
        <f t="shared" ref="H106:H128" si="100">+CN106</f>
        <v>59858617</v>
      </c>
      <c r="I106" s="1061">
        <f t="shared" ref="I106:I115" si="101">Y106-H106</f>
        <v>16141383</v>
      </c>
      <c r="J106" s="1097" t="s">
        <v>4904</v>
      </c>
      <c r="K106" s="1093" t="s">
        <v>4909</v>
      </c>
      <c r="L106" s="1093" t="s">
        <v>4916</v>
      </c>
      <c r="M106" s="1093">
        <v>13</v>
      </c>
      <c r="N106" s="1093">
        <v>37</v>
      </c>
      <c r="O106" s="1093">
        <v>5</v>
      </c>
      <c r="P106" s="1093">
        <v>30</v>
      </c>
      <c r="Q106" s="1093">
        <v>71</v>
      </c>
      <c r="R106" s="1093">
        <v>21</v>
      </c>
      <c r="S106" s="1097"/>
      <c r="T106" s="1097"/>
      <c r="U106" s="1097"/>
      <c r="V106" s="1097"/>
      <c r="W106" s="1097"/>
      <c r="X106" s="1097"/>
      <c r="Y106" s="1008">
        <f t="shared" ref="Y106:Y128" si="102">SUM(Z106:AS106)</f>
        <v>76000000</v>
      </c>
      <c r="Z106" s="1008"/>
      <c r="AA106" s="1008">
        <f>6985144-6985144</f>
        <v>0</v>
      </c>
      <c r="AB106" s="1008"/>
      <c r="AC106" s="1008"/>
      <c r="AD106" s="1008"/>
      <c r="AE106" s="1008"/>
      <c r="AF106" s="1008"/>
      <c r="AG106" s="1008"/>
      <c r="AH106" s="1008"/>
      <c r="AI106" s="1008"/>
      <c r="AJ106" s="1008"/>
      <c r="AK106" s="1008"/>
      <c r="AL106" s="1008"/>
      <c r="AM106" s="1008"/>
      <c r="AN106" s="1008"/>
      <c r="AO106" s="1008">
        <v>6985144</v>
      </c>
      <c r="AP106" s="1008">
        <v>69014856</v>
      </c>
      <c r="AQ106" s="1008"/>
      <c r="AR106" s="1008"/>
      <c r="AS106" s="1008"/>
      <c r="AU106" s="1011">
        <f t="shared" ref="AU106:AU175" si="103">+AV106/Y106</f>
        <v>0.90809021052631578</v>
      </c>
      <c r="AV106" s="1008">
        <f t="shared" ref="AV106:AV128" si="104">SUM(AW106:BP106)</f>
        <v>69014856</v>
      </c>
      <c r="AW106" s="1008"/>
      <c r="AX106" s="1008"/>
      <c r="AY106" s="1008"/>
      <c r="AZ106" s="1008"/>
      <c r="BA106" s="1008"/>
      <c r="BB106" s="1008"/>
      <c r="BC106" s="1008"/>
      <c r="BD106" s="1008"/>
      <c r="BE106" s="1008"/>
      <c r="BF106" s="1008"/>
      <c r="BG106" s="1008"/>
      <c r="BH106" s="1008"/>
      <c r="BI106" s="1008"/>
      <c r="BJ106" s="1008"/>
      <c r="BK106" s="1008"/>
      <c r="BL106" s="1008"/>
      <c r="BM106" s="1008">
        <f>+'[7]ENERO 2015'!$W$295</f>
        <v>69014856</v>
      </c>
      <c r="BN106" s="1008"/>
      <c r="BO106" s="1008"/>
      <c r="BP106" s="1008"/>
      <c r="BQ106" s="1011">
        <f t="shared" ref="BQ106:BQ175" si="105">1-AU106</f>
        <v>9.1909789473684222E-2</v>
      </c>
      <c r="BR106" s="1008">
        <f t="shared" ref="BR106:BR128" si="106">SUM(BS106:CL106)</f>
        <v>6985144</v>
      </c>
      <c r="BS106" s="1008">
        <f t="shared" ref="BS106:BS113" si="107">+Z106-AW106</f>
        <v>0</v>
      </c>
      <c r="BT106" s="1008">
        <f t="shared" ref="BT106:BT113" si="108">AA106-AX106</f>
        <v>0</v>
      </c>
      <c r="BU106" s="1008"/>
      <c r="BV106" s="1008">
        <f t="shared" ref="BV106:BV113" si="109">AC106-AZ106</f>
        <v>0</v>
      </c>
      <c r="BW106" s="1008"/>
      <c r="BX106" s="1008">
        <f t="shared" ref="BX106:BY111" si="110">+AE106-BB106</f>
        <v>0</v>
      </c>
      <c r="BY106" s="1008">
        <f t="shared" si="110"/>
        <v>0</v>
      </c>
      <c r="BZ106" s="1008"/>
      <c r="CA106" s="1008"/>
      <c r="CB106" s="1008"/>
      <c r="CC106" s="1008"/>
      <c r="CD106" s="1008">
        <f t="shared" ref="CD106:CI128" si="111">+AK106-BH106</f>
        <v>0</v>
      </c>
      <c r="CE106" s="1008">
        <f t="shared" si="111"/>
        <v>0</v>
      </c>
      <c r="CF106" s="1008">
        <f t="shared" si="111"/>
        <v>0</v>
      </c>
      <c r="CG106" s="1008">
        <f t="shared" si="111"/>
        <v>0</v>
      </c>
      <c r="CH106" s="1008">
        <f t="shared" si="111"/>
        <v>6985144</v>
      </c>
      <c r="CI106" s="1008">
        <f t="shared" si="111"/>
        <v>0</v>
      </c>
      <c r="CJ106" s="1008"/>
      <c r="CK106" s="1008"/>
      <c r="CL106" s="1008">
        <f t="shared" ref="CL106:CL113" si="112">+AS106-BP106</f>
        <v>0</v>
      </c>
      <c r="CM106" s="1011">
        <f t="shared" ref="CM106:CM176" si="113">+CN106/Y106</f>
        <v>0.78761338157894734</v>
      </c>
      <c r="CN106" s="1008">
        <f t="shared" ref="CN106:CN128" si="114">SUM(CO106:DH106)</f>
        <v>59858617</v>
      </c>
      <c r="CO106" s="1008"/>
      <c r="CP106" s="1008"/>
      <c r="CQ106" s="1008"/>
      <c r="CR106" s="1008"/>
      <c r="CS106" s="1008"/>
      <c r="CT106" s="1008"/>
      <c r="CU106" s="1008"/>
      <c r="CV106" s="1008"/>
      <c r="CW106" s="1008"/>
      <c r="CX106" s="1008"/>
      <c r="CY106" s="1008"/>
      <c r="CZ106" s="1008"/>
      <c r="DA106" s="1008"/>
      <c r="DB106" s="1008"/>
      <c r="DC106" s="1008"/>
      <c r="DD106" s="1008"/>
      <c r="DE106" s="1008">
        <f>+'[18]OCTUBRE 2015'!$H$1104</f>
        <v>59858617</v>
      </c>
      <c r="DF106" s="1008"/>
      <c r="DG106" s="1008"/>
      <c r="DH106" s="1008"/>
      <c r="DI106" s="1011">
        <f t="shared" ref="DI106:DI175" si="115">1-CM106</f>
        <v>0.21238661842105266</v>
      </c>
      <c r="DJ106" s="1008">
        <f t="shared" ref="DJ106:DJ128" si="116">SUM(DK106:ED106)</f>
        <v>16141383</v>
      </c>
      <c r="DK106" s="1008">
        <f>Z106-CO106</f>
        <v>0</v>
      </c>
      <c r="DL106" s="1008">
        <f>AA106-CP106</f>
        <v>0</v>
      </c>
      <c r="DM106" s="1008">
        <f>AB106-CQ106</f>
        <v>0</v>
      </c>
      <c r="DN106" s="1008">
        <f>AC106-CR106</f>
        <v>0</v>
      </c>
      <c r="DO106" s="1008"/>
      <c r="DP106" s="1008">
        <f t="shared" ref="DP106:DQ111" si="117">AE106-CT106</f>
        <v>0</v>
      </c>
      <c r="DQ106" s="1008">
        <f t="shared" si="117"/>
        <v>0</v>
      </c>
      <c r="DR106" s="1008"/>
      <c r="DS106" s="1008">
        <f t="shared" ref="DS106:DT111" si="118">+AH106-CW106</f>
        <v>0</v>
      </c>
      <c r="DT106" s="1008">
        <f t="shared" si="118"/>
        <v>0</v>
      </c>
      <c r="DU106" s="1008"/>
      <c r="DV106" s="1008">
        <f t="shared" ref="DV106:DX111" si="119">AK106-CZ106</f>
        <v>0</v>
      </c>
      <c r="DW106" s="1008">
        <f t="shared" si="119"/>
        <v>0</v>
      </c>
      <c r="DX106" s="1008">
        <f t="shared" si="119"/>
        <v>0</v>
      </c>
      <c r="DY106" s="1008">
        <f t="shared" ref="DY106:EB111" si="120">+AN106-DC106</f>
        <v>0</v>
      </c>
      <c r="DZ106" s="1008">
        <f t="shared" si="120"/>
        <v>6985144</v>
      </c>
      <c r="EA106" s="1008">
        <f t="shared" si="120"/>
        <v>9156239</v>
      </c>
      <c r="EB106" s="1008">
        <f t="shared" si="120"/>
        <v>0</v>
      </c>
      <c r="EC106" s="1008"/>
      <c r="ED106" s="1008">
        <f t="shared" ref="ED106:ED113" si="121">+AS106-DH106</f>
        <v>0</v>
      </c>
    </row>
    <row r="107" spans="1:134" s="948" customFormat="1" ht="33.75" customHeight="1" x14ac:dyDescent="0.25">
      <c r="A107" s="1559"/>
      <c r="B107" s="1019"/>
      <c r="C107" s="1094" t="s">
        <v>4461</v>
      </c>
      <c r="D107" s="1019" t="s">
        <v>4632</v>
      </c>
      <c r="E107" s="1020">
        <v>301</v>
      </c>
      <c r="F107" s="1097" t="s">
        <v>4661</v>
      </c>
      <c r="G107" s="1400"/>
      <c r="H107" s="1061">
        <f t="shared" si="100"/>
        <v>52739455</v>
      </c>
      <c r="I107" s="1061">
        <f t="shared" si="101"/>
        <v>2260545</v>
      </c>
      <c r="J107" s="1399" t="s">
        <v>4905</v>
      </c>
      <c r="K107" s="1283" t="s">
        <v>4910</v>
      </c>
      <c r="L107" s="1283" t="s">
        <v>4917</v>
      </c>
      <c r="M107" s="1093">
        <v>24</v>
      </c>
      <c r="N107" s="1093">
        <v>34</v>
      </c>
      <c r="O107" s="1093">
        <v>8</v>
      </c>
      <c r="P107" s="1093">
        <v>36</v>
      </c>
      <c r="Q107" s="1093">
        <v>70</v>
      </c>
      <c r="R107" s="1093">
        <v>25</v>
      </c>
      <c r="S107" s="1097"/>
      <c r="T107" s="1097"/>
      <c r="U107" s="1097"/>
      <c r="V107" s="1097"/>
      <c r="W107" s="1097"/>
      <c r="X107" s="1097"/>
      <c r="Y107" s="1008">
        <f t="shared" si="102"/>
        <v>55000000</v>
      </c>
      <c r="Z107" s="1008"/>
      <c r="AA107" s="1008"/>
      <c r="AB107" s="1008"/>
      <c r="AC107" s="1008"/>
      <c r="AD107" s="1008"/>
      <c r="AE107" s="1008"/>
      <c r="AF107" s="1008"/>
      <c r="AG107" s="1008"/>
      <c r="AH107" s="1008"/>
      <c r="AI107" s="1008"/>
      <c r="AJ107" s="1008"/>
      <c r="AK107" s="1008"/>
      <c r="AL107" s="1008"/>
      <c r="AM107" s="1008"/>
      <c r="AN107" s="1008"/>
      <c r="AO107" s="1008"/>
      <c r="AP107" s="1008">
        <v>55000000</v>
      </c>
      <c r="AQ107" s="1008"/>
      <c r="AR107" s="1008"/>
      <c r="AS107" s="1008"/>
      <c r="AU107" s="1011">
        <f t="shared" si="103"/>
        <v>1</v>
      </c>
      <c r="AV107" s="1008">
        <f t="shared" si="104"/>
        <v>55000000</v>
      </c>
      <c r="AW107" s="1008"/>
      <c r="AX107" s="1008"/>
      <c r="AY107" s="1008"/>
      <c r="AZ107" s="1008"/>
      <c r="BA107" s="1008"/>
      <c r="BB107" s="1008"/>
      <c r="BC107" s="1008"/>
      <c r="BD107" s="1008"/>
      <c r="BE107" s="1008"/>
      <c r="BF107" s="1008"/>
      <c r="BG107" s="1008"/>
      <c r="BH107" s="1008"/>
      <c r="BI107" s="1008"/>
      <c r="BJ107" s="1008"/>
      <c r="BK107" s="1008"/>
      <c r="BL107" s="1008"/>
      <c r="BM107" s="1008">
        <f>+'[7]ENERO 2015'!$W$301</f>
        <v>55000000</v>
      </c>
      <c r="BN107" s="1008"/>
      <c r="BO107" s="1008"/>
      <c r="BP107" s="1008"/>
      <c r="BQ107" s="1011">
        <f t="shared" si="105"/>
        <v>0</v>
      </c>
      <c r="BR107" s="1008">
        <f t="shared" si="106"/>
        <v>0</v>
      </c>
      <c r="BS107" s="1008">
        <f t="shared" si="107"/>
        <v>0</v>
      </c>
      <c r="BT107" s="1008">
        <f t="shared" si="108"/>
        <v>0</v>
      </c>
      <c r="BU107" s="1008"/>
      <c r="BV107" s="1008">
        <f t="shared" si="109"/>
        <v>0</v>
      </c>
      <c r="BW107" s="1008"/>
      <c r="BX107" s="1008">
        <f t="shared" si="110"/>
        <v>0</v>
      </c>
      <c r="BY107" s="1008">
        <f t="shared" si="110"/>
        <v>0</v>
      </c>
      <c r="BZ107" s="1008"/>
      <c r="CA107" s="1008"/>
      <c r="CB107" s="1008"/>
      <c r="CC107" s="1008"/>
      <c r="CD107" s="1008">
        <f t="shared" si="111"/>
        <v>0</v>
      </c>
      <c r="CE107" s="1008">
        <f t="shared" si="111"/>
        <v>0</v>
      </c>
      <c r="CF107" s="1008">
        <f t="shared" si="111"/>
        <v>0</v>
      </c>
      <c r="CG107" s="1008">
        <f t="shared" si="111"/>
        <v>0</v>
      </c>
      <c r="CH107" s="1008">
        <f t="shared" si="111"/>
        <v>0</v>
      </c>
      <c r="CI107" s="1008">
        <f t="shared" si="111"/>
        <v>0</v>
      </c>
      <c r="CJ107" s="1008"/>
      <c r="CK107" s="1008"/>
      <c r="CL107" s="1008">
        <f t="shared" si="112"/>
        <v>0</v>
      </c>
      <c r="CM107" s="1011">
        <f t="shared" si="113"/>
        <v>0.95889918181818179</v>
      </c>
      <c r="CN107" s="1008">
        <f t="shared" si="114"/>
        <v>52739455</v>
      </c>
      <c r="CO107" s="1008"/>
      <c r="CP107" s="1008"/>
      <c r="CQ107" s="1008"/>
      <c r="CR107" s="1008"/>
      <c r="CS107" s="1008"/>
      <c r="CT107" s="1008"/>
      <c r="CU107" s="1008"/>
      <c r="CV107" s="1008"/>
      <c r="CW107" s="1008"/>
      <c r="CX107" s="1008"/>
      <c r="CY107" s="1008"/>
      <c r="CZ107" s="1008"/>
      <c r="DA107" s="1008"/>
      <c r="DB107" s="1008"/>
      <c r="DC107" s="1008"/>
      <c r="DD107" s="1008"/>
      <c r="DE107" s="1008">
        <f>+'[17]SEPTIEMBRE 2015'!$H$978</f>
        <v>52739455</v>
      </c>
      <c r="DF107" s="1008"/>
      <c r="DG107" s="1008"/>
      <c r="DH107" s="1008"/>
      <c r="DI107" s="1011">
        <f t="shared" si="115"/>
        <v>4.1100818181818211E-2</v>
      </c>
      <c r="DJ107" s="1008">
        <f t="shared" si="116"/>
        <v>2260545</v>
      </c>
      <c r="DK107" s="1008">
        <f t="shared" ref="DK107:DK113" si="122">Z107-CO107</f>
        <v>0</v>
      </c>
      <c r="DL107" s="1008"/>
      <c r="DM107" s="1008"/>
      <c r="DN107" s="1008">
        <f>AC107-CR107</f>
        <v>0</v>
      </c>
      <c r="DO107" s="1008"/>
      <c r="DP107" s="1008">
        <f t="shared" si="117"/>
        <v>0</v>
      </c>
      <c r="DQ107" s="1008">
        <f t="shared" si="117"/>
        <v>0</v>
      </c>
      <c r="DR107" s="1008"/>
      <c r="DS107" s="1008">
        <f t="shared" si="118"/>
        <v>0</v>
      </c>
      <c r="DT107" s="1008">
        <f t="shared" si="118"/>
        <v>0</v>
      </c>
      <c r="DU107" s="1008"/>
      <c r="DV107" s="1008">
        <f t="shared" si="119"/>
        <v>0</v>
      </c>
      <c r="DW107" s="1008">
        <f t="shared" si="119"/>
        <v>0</v>
      </c>
      <c r="DX107" s="1008">
        <f t="shared" si="119"/>
        <v>0</v>
      </c>
      <c r="DY107" s="1008">
        <f t="shared" si="120"/>
        <v>0</v>
      </c>
      <c r="DZ107" s="1008">
        <f t="shared" si="120"/>
        <v>0</v>
      </c>
      <c r="EA107" s="1008">
        <f t="shared" si="120"/>
        <v>2260545</v>
      </c>
      <c r="EB107" s="1008">
        <f t="shared" si="120"/>
        <v>0</v>
      </c>
      <c r="EC107" s="1008"/>
      <c r="ED107" s="1008">
        <f t="shared" si="121"/>
        <v>0</v>
      </c>
    </row>
    <row r="108" spans="1:134" s="948" customFormat="1" ht="35.25" customHeight="1" x14ac:dyDescent="0.25">
      <c r="A108" s="1559"/>
      <c r="B108" s="1019"/>
      <c r="C108" s="1094" t="s">
        <v>4462</v>
      </c>
      <c r="D108" s="1019" t="s">
        <v>4633</v>
      </c>
      <c r="E108" s="1020">
        <v>301</v>
      </c>
      <c r="F108" s="1097" t="s">
        <v>4661</v>
      </c>
      <c r="G108" s="1400"/>
      <c r="H108" s="1061">
        <f t="shared" si="100"/>
        <v>57332905</v>
      </c>
      <c r="I108" s="1061">
        <f t="shared" si="101"/>
        <v>2667095</v>
      </c>
      <c r="J108" s="1401"/>
      <c r="K108" s="1284"/>
      <c r="L108" s="1284"/>
      <c r="M108" s="1093">
        <v>44</v>
      </c>
      <c r="N108" s="1093">
        <v>23</v>
      </c>
      <c r="O108" s="1093">
        <v>10</v>
      </c>
      <c r="P108" s="1093">
        <v>44</v>
      </c>
      <c r="Q108" s="1093">
        <v>52</v>
      </c>
      <c r="R108" s="1093">
        <v>23</v>
      </c>
      <c r="S108" s="1097"/>
      <c r="T108" s="1097"/>
      <c r="U108" s="1097"/>
      <c r="V108" s="1097"/>
      <c r="W108" s="1097"/>
      <c r="X108" s="1097"/>
      <c r="Y108" s="1008">
        <f t="shared" si="102"/>
        <v>60000000</v>
      </c>
      <c r="Z108" s="1008"/>
      <c r="AA108" s="1008"/>
      <c r="AB108" s="1008"/>
      <c r="AC108" s="1008"/>
      <c r="AD108" s="1008"/>
      <c r="AE108" s="1008"/>
      <c r="AF108" s="1008"/>
      <c r="AG108" s="1008"/>
      <c r="AH108" s="1008"/>
      <c r="AI108" s="1008"/>
      <c r="AJ108" s="1008"/>
      <c r="AK108" s="1008"/>
      <c r="AL108" s="1008"/>
      <c r="AM108" s="1008"/>
      <c r="AN108" s="1008"/>
      <c r="AO108" s="1008"/>
      <c r="AP108" s="1008">
        <v>60000000</v>
      </c>
      <c r="AQ108" s="1008"/>
      <c r="AR108" s="1008"/>
      <c r="AS108" s="1008"/>
      <c r="AU108" s="1011">
        <f t="shared" si="103"/>
        <v>1</v>
      </c>
      <c r="AV108" s="1008">
        <f t="shared" si="104"/>
        <v>60000000</v>
      </c>
      <c r="AW108" s="1008"/>
      <c r="AX108" s="1008"/>
      <c r="AY108" s="1008"/>
      <c r="AZ108" s="1008"/>
      <c r="BA108" s="1008"/>
      <c r="BB108" s="1008"/>
      <c r="BC108" s="1008"/>
      <c r="BD108" s="1008"/>
      <c r="BE108" s="1008"/>
      <c r="BF108" s="1008"/>
      <c r="BG108" s="1008"/>
      <c r="BH108" s="1008"/>
      <c r="BI108" s="1008"/>
      <c r="BJ108" s="1008"/>
      <c r="BK108" s="1008"/>
      <c r="BL108" s="1008"/>
      <c r="BM108" s="1008">
        <f>+'[7]ENERO 2015'!$G$305</f>
        <v>60000000</v>
      </c>
      <c r="BN108" s="1008"/>
      <c r="BO108" s="1008"/>
      <c r="BP108" s="1008"/>
      <c r="BQ108" s="1011">
        <f t="shared" si="105"/>
        <v>0</v>
      </c>
      <c r="BR108" s="1008">
        <f t="shared" si="106"/>
        <v>0</v>
      </c>
      <c r="BS108" s="1008">
        <f t="shared" si="107"/>
        <v>0</v>
      </c>
      <c r="BT108" s="1008">
        <f t="shared" si="108"/>
        <v>0</v>
      </c>
      <c r="BU108" s="1008"/>
      <c r="BV108" s="1008">
        <f t="shared" si="109"/>
        <v>0</v>
      </c>
      <c r="BW108" s="1008"/>
      <c r="BX108" s="1008">
        <f t="shared" si="110"/>
        <v>0</v>
      </c>
      <c r="BY108" s="1008">
        <f t="shared" si="110"/>
        <v>0</v>
      </c>
      <c r="BZ108" s="1008"/>
      <c r="CA108" s="1008"/>
      <c r="CB108" s="1008"/>
      <c r="CC108" s="1008"/>
      <c r="CD108" s="1008">
        <f t="shared" si="111"/>
        <v>0</v>
      </c>
      <c r="CE108" s="1008">
        <f t="shared" si="111"/>
        <v>0</v>
      </c>
      <c r="CF108" s="1008">
        <f t="shared" si="111"/>
        <v>0</v>
      </c>
      <c r="CG108" s="1008">
        <f t="shared" si="111"/>
        <v>0</v>
      </c>
      <c r="CH108" s="1008">
        <f t="shared" si="111"/>
        <v>0</v>
      </c>
      <c r="CI108" s="1008">
        <f t="shared" si="111"/>
        <v>0</v>
      </c>
      <c r="CJ108" s="1008"/>
      <c r="CK108" s="1008"/>
      <c r="CL108" s="1008">
        <f t="shared" si="112"/>
        <v>0</v>
      </c>
      <c r="CM108" s="1011">
        <f t="shared" si="113"/>
        <v>0.95554841666666668</v>
      </c>
      <c r="CN108" s="1008">
        <f t="shared" si="114"/>
        <v>57332905</v>
      </c>
      <c r="CO108" s="1008"/>
      <c r="CP108" s="1008"/>
      <c r="CQ108" s="1008"/>
      <c r="CR108" s="1008"/>
      <c r="CS108" s="1008"/>
      <c r="CT108" s="1008"/>
      <c r="CU108" s="1008"/>
      <c r="CV108" s="1008"/>
      <c r="CW108" s="1008"/>
      <c r="CX108" s="1008"/>
      <c r="CY108" s="1008"/>
      <c r="CZ108" s="1008"/>
      <c r="DA108" s="1008"/>
      <c r="DB108" s="1008"/>
      <c r="DC108" s="1008"/>
      <c r="DD108" s="1008"/>
      <c r="DE108" s="1008">
        <f>+'[17]SEPTIEMBRE 2015'!$H$992</f>
        <v>57332905</v>
      </c>
      <c r="DF108" s="1008"/>
      <c r="DG108" s="1008"/>
      <c r="DH108" s="1008"/>
      <c r="DI108" s="1011">
        <f t="shared" si="115"/>
        <v>4.4451583333333322E-2</v>
      </c>
      <c r="DJ108" s="1008">
        <f t="shared" si="116"/>
        <v>2667095</v>
      </c>
      <c r="DK108" s="1008">
        <f t="shared" si="122"/>
        <v>0</v>
      </c>
      <c r="DL108" s="1008"/>
      <c r="DM108" s="1008"/>
      <c r="DN108" s="1008">
        <f>AC108-CR108</f>
        <v>0</v>
      </c>
      <c r="DO108" s="1008"/>
      <c r="DP108" s="1008">
        <f t="shared" si="117"/>
        <v>0</v>
      </c>
      <c r="DQ108" s="1008">
        <f t="shared" si="117"/>
        <v>0</v>
      </c>
      <c r="DR108" s="1008"/>
      <c r="DS108" s="1008">
        <f t="shared" si="118"/>
        <v>0</v>
      </c>
      <c r="DT108" s="1008">
        <f t="shared" si="118"/>
        <v>0</v>
      </c>
      <c r="DU108" s="1008"/>
      <c r="DV108" s="1008">
        <f t="shared" si="119"/>
        <v>0</v>
      </c>
      <c r="DW108" s="1008">
        <f t="shared" si="119"/>
        <v>0</v>
      </c>
      <c r="DX108" s="1008">
        <f t="shared" si="119"/>
        <v>0</v>
      </c>
      <c r="DY108" s="1008">
        <f t="shared" si="120"/>
        <v>0</v>
      </c>
      <c r="DZ108" s="1008">
        <f t="shared" si="120"/>
        <v>0</v>
      </c>
      <c r="EA108" s="1008">
        <f t="shared" si="120"/>
        <v>2667095</v>
      </c>
      <c r="EB108" s="1008">
        <f t="shared" si="120"/>
        <v>0</v>
      </c>
      <c r="EC108" s="1008"/>
      <c r="ED108" s="1008">
        <f t="shared" si="121"/>
        <v>0</v>
      </c>
    </row>
    <row r="109" spans="1:134" ht="44.25" customHeight="1" x14ac:dyDescent="0.25">
      <c r="A109" s="1559"/>
      <c r="B109" s="1019"/>
      <c r="C109" s="1094" t="s">
        <v>4463</v>
      </c>
      <c r="D109" s="1019" t="s">
        <v>4441</v>
      </c>
      <c r="E109" s="1020">
        <v>301</v>
      </c>
      <c r="F109" s="1097" t="s">
        <v>4738</v>
      </c>
      <c r="G109" s="1400"/>
      <c r="H109" s="1061">
        <f t="shared" si="100"/>
        <v>21234417</v>
      </c>
      <c r="I109" s="1061">
        <f t="shared" si="101"/>
        <v>12765583</v>
      </c>
      <c r="J109" s="1097" t="s">
        <v>4906</v>
      </c>
      <c r="K109" s="1093" t="s">
        <v>4911</v>
      </c>
      <c r="L109" s="1093" t="s">
        <v>4918</v>
      </c>
      <c r="M109" s="1093">
        <v>0</v>
      </c>
      <c r="N109" s="1093">
        <v>0</v>
      </c>
      <c r="O109" s="1093">
        <v>0</v>
      </c>
      <c r="P109" s="1093">
        <v>41</v>
      </c>
      <c r="Q109" s="1093">
        <v>10</v>
      </c>
      <c r="R109" s="1093">
        <v>4</v>
      </c>
      <c r="S109" s="1097"/>
      <c r="T109" s="1097"/>
      <c r="U109" s="1097"/>
      <c r="V109" s="1097"/>
      <c r="W109" s="1097"/>
      <c r="X109" s="1097"/>
      <c r="Y109" s="1008">
        <f t="shared" si="102"/>
        <v>34000000</v>
      </c>
      <c r="Z109" s="1008"/>
      <c r="AA109" s="1008"/>
      <c r="AB109" s="1008"/>
      <c r="AC109" s="1008"/>
      <c r="AD109" s="1008"/>
      <c r="AE109" s="1008"/>
      <c r="AF109" s="1008"/>
      <c r="AG109" s="1008"/>
      <c r="AH109" s="1008"/>
      <c r="AI109" s="1008"/>
      <c r="AJ109" s="1008"/>
      <c r="AK109" s="1008"/>
      <c r="AL109" s="1008"/>
      <c r="AM109" s="1008"/>
      <c r="AN109" s="1008"/>
      <c r="AO109" s="1008"/>
      <c r="AP109" s="1008"/>
      <c r="AQ109" s="1008"/>
      <c r="AR109" s="1008"/>
      <c r="AS109" s="1008">
        <f>6000000+15000000+4000000+9000000</f>
        <v>34000000</v>
      </c>
      <c r="AU109" s="1011">
        <f t="shared" si="103"/>
        <v>0.8529411764705882</v>
      </c>
      <c r="AV109" s="1008">
        <f t="shared" si="104"/>
        <v>29000000</v>
      </c>
      <c r="AW109" s="1008"/>
      <c r="AX109" s="1008"/>
      <c r="AY109" s="1008"/>
      <c r="AZ109" s="1008"/>
      <c r="BA109" s="1008"/>
      <c r="BB109" s="1008"/>
      <c r="BC109" s="1008"/>
      <c r="BD109" s="1008"/>
      <c r="BE109" s="1008"/>
      <c r="BF109" s="1008"/>
      <c r="BG109" s="1008"/>
      <c r="BH109" s="1008"/>
      <c r="BI109" s="1008"/>
      <c r="BJ109" s="1008"/>
      <c r="BK109" s="1008"/>
      <c r="BL109" s="1008"/>
      <c r="BM109" s="1008"/>
      <c r="BN109" s="1008"/>
      <c r="BO109" s="1008"/>
      <c r="BP109" s="1008">
        <f>+'[15]JULIO 2015'!$AD$771</f>
        <v>29000000</v>
      </c>
      <c r="BQ109" s="1011">
        <f t="shared" si="105"/>
        <v>0.1470588235294118</v>
      </c>
      <c r="BR109" s="1008">
        <f t="shared" si="106"/>
        <v>5000000</v>
      </c>
      <c r="BS109" s="1008">
        <f t="shared" si="107"/>
        <v>0</v>
      </c>
      <c r="BT109" s="1008">
        <f t="shared" si="108"/>
        <v>0</v>
      </c>
      <c r="BU109" s="1008"/>
      <c r="BV109" s="1008">
        <f t="shared" si="109"/>
        <v>0</v>
      </c>
      <c r="BW109" s="1008"/>
      <c r="BX109" s="1008">
        <f t="shared" si="110"/>
        <v>0</v>
      </c>
      <c r="BY109" s="1008">
        <f t="shared" si="110"/>
        <v>0</v>
      </c>
      <c r="BZ109" s="1008"/>
      <c r="CA109" s="1008">
        <f t="shared" ref="CA109:CC111" si="123">+AH109-BE109</f>
        <v>0</v>
      </c>
      <c r="CB109" s="1008">
        <f t="shared" si="123"/>
        <v>0</v>
      </c>
      <c r="CC109" s="1008">
        <f t="shared" si="123"/>
        <v>0</v>
      </c>
      <c r="CD109" s="1008">
        <f t="shared" si="111"/>
        <v>0</v>
      </c>
      <c r="CE109" s="1008">
        <f t="shared" si="111"/>
        <v>0</v>
      </c>
      <c r="CF109" s="1008">
        <f t="shared" si="111"/>
        <v>0</v>
      </c>
      <c r="CG109" s="1008">
        <f t="shared" si="111"/>
        <v>0</v>
      </c>
      <c r="CH109" s="1008">
        <f t="shared" si="111"/>
        <v>0</v>
      </c>
      <c r="CI109" s="1008">
        <f t="shared" si="111"/>
        <v>0</v>
      </c>
      <c r="CJ109" s="1008"/>
      <c r="CK109" s="1008"/>
      <c r="CL109" s="1008">
        <f t="shared" si="112"/>
        <v>5000000</v>
      </c>
      <c r="CM109" s="1011">
        <f t="shared" si="113"/>
        <v>0.62454167647058823</v>
      </c>
      <c r="CN109" s="1008">
        <f t="shared" si="114"/>
        <v>21234417</v>
      </c>
      <c r="CO109" s="1008"/>
      <c r="CP109" s="1008"/>
      <c r="CQ109" s="1008"/>
      <c r="CR109" s="1008"/>
      <c r="CS109" s="1008"/>
      <c r="CT109" s="1008"/>
      <c r="CU109" s="1008"/>
      <c r="CV109" s="1008"/>
      <c r="CW109" s="1008"/>
      <c r="CX109" s="1008"/>
      <c r="CY109" s="1008"/>
      <c r="CZ109" s="1008"/>
      <c r="DA109" s="1008"/>
      <c r="DB109" s="1008"/>
      <c r="DC109" s="1008"/>
      <c r="DD109" s="1008"/>
      <c r="DE109" s="1008"/>
      <c r="DF109" s="1008"/>
      <c r="DG109" s="1008"/>
      <c r="DH109" s="1008">
        <f>+'[17]SEPTIEMBRE 2015'!$H$1006</f>
        <v>21234417</v>
      </c>
      <c r="DI109" s="1011">
        <f t="shared" si="115"/>
        <v>0.37545832352941177</v>
      </c>
      <c r="DJ109" s="1008">
        <f t="shared" si="116"/>
        <v>12765583</v>
      </c>
      <c r="DK109" s="1008">
        <f t="shared" si="122"/>
        <v>0</v>
      </c>
      <c r="DL109" s="1008"/>
      <c r="DM109" s="1008"/>
      <c r="DN109" s="1008">
        <f>AC109-CR109</f>
        <v>0</v>
      </c>
      <c r="DO109" s="1008"/>
      <c r="DP109" s="1008">
        <f t="shared" si="117"/>
        <v>0</v>
      </c>
      <c r="DQ109" s="1008">
        <f t="shared" si="117"/>
        <v>0</v>
      </c>
      <c r="DR109" s="1008"/>
      <c r="DS109" s="1008">
        <f t="shared" si="118"/>
        <v>0</v>
      </c>
      <c r="DT109" s="1008">
        <f t="shared" si="118"/>
        <v>0</v>
      </c>
      <c r="DU109" s="1008"/>
      <c r="DV109" s="1008">
        <f t="shared" si="119"/>
        <v>0</v>
      </c>
      <c r="DW109" s="1008">
        <f t="shared" si="119"/>
        <v>0</v>
      </c>
      <c r="DX109" s="1008">
        <f t="shared" si="119"/>
        <v>0</v>
      </c>
      <c r="DY109" s="1008">
        <f t="shared" si="120"/>
        <v>0</v>
      </c>
      <c r="DZ109" s="1008">
        <f t="shared" si="120"/>
        <v>0</v>
      </c>
      <c r="EA109" s="1008">
        <f t="shared" si="120"/>
        <v>0</v>
      </c>
      <c r="EB109" s="1008">
        <f t="shared" si="120"/>
        <v>0</v>
      </c>
      <c r="EC109" s="1008"/>
      <c r="ED109" s="1008">
        <f t="shared" si="121"/>
        <v>12765583</v>
      </c>
    </row>
    <row r="110" spans="1:134" ht="48.75" customHeight="1" x14ac:dyDescent="0.25">
      <c r="A110" s="1559"/>
      <c r="B110" s="1019"/>
      <c r="C110" s="1094" t="s">
        <v>4464</v>
      </c>
      <c r="D110" s="1019" t="s">
        <v>4458</v>
      </c>
      <c r="E110" s="1020">
        <v>301</v>
      </c>
      <c r="F110" s="1097" t="s">
        <v>4661</v>
      </c>
      <c r="G110" s="1400"/>
      <c r="H110" s="1061">
        <f t="shared" si="100"/>
        <v>0</v>
      </c>
      <c r="I110" s="1061">
        <f t="shared" si="101"/>
        <v>24000000</v>
      </c>
      <c r="J110" s="1097" t="s">
        <v>4907</v>
      </c>
      <c r="K110" s="1093" t="s">
        <v>4912</v>
      </c>
      <c r="L110" s="1093" t="s">
        <v>4919</v>
      </c>
      <c r="M110" s="1093">
        <v>0</v>
      </c>
      <c r="N110" s="1093">
        <v>0</v>
      </c>
      <c r="O110" s="1093">
        <v>0</v>
      </c>
      <c r="P110" s="1093">
        <v>0</v>
      </c>
      <c r="Q110" s="1093">
        <v>0</v>
      </c>
      <c r="R110" s="1093">
        <v>0</v>
      </c>
      <c r="S110" s="1097"/>
      <c r="T110" s="1097"/>
      <c r="U110" s="1097"/>
      <c r="V110" s="1097"/>
      <c r="W110" s="1097"/>
      <c r="X110" s="1097"/>
      <c r="Y110" s="1008">
        <f t="shared" si="102"/>
        <v>24000000</v>
      </c>
      <c r="Z110" s="1008"/>
      <c r="AA110" s="1008"/>
      <c r="AB110" s="1008"/>
      <c r="AC110" s="1008"/>
      <c r="AD110" s="1008"/>
      <c r="AE110" s="1008"/>
      <c r="AF110" s="1008"/>
      <c r="AG110" s="1008"/>
      <c r="AH110" s="1008"/>
      <c r="AI110" s="1008"/>
      <c r="AJ110" s="1008"/>
      <c r="AK110" s="1008"/>
      <c r="AL110" s="1008"/>
      <c r="AM110" s="1008"/>
      <c r="AN110" s="1008"/>
      <c r="AO110" s="1008"/>
      <c r="AP110" s="1008">
        <v>24000000</v>
      </c>
      <c r="AQ110" s="1008"/>
      <c r="AR110" s="1008"/>
      <c r="AS110" s="1008"/>
      <c r="AU110" s="1011">
        <f t="shared" si="103"/>
        <v>0</v>
      </c>
      <c r="AV110" s="1008">
        <f t="shared" si="104"/>
        <v>0</v>
      </c>
      <c r="AW110" s="1008"/>
      <c r="AX110" s="1008"/>
      <c r="AY110" s="1008"/>
      <c r="AZ110" s="1008"/>
      <c r="BA110" s="1008"/>
      <c r="BB110" s="1008"/>
      <c r="BC110" s="1008"/>
      <c r="BD110" s="1008"/>
      <c r="BE110" s="1008"/>
      <c r="BF110" s="1008"/>
      <c r="BG110" s="1008"/>
      <c r="BH110" s="1008"/>
      <c r="BI110" s="1008"/>
      <c r="BJ110" s="1008"/>
      <c r="BK110" s="1008"/>
      <c r="BL110" s="1008"/>
      <c r="BM110" s="1008"/>
      <c r="BN110" s="1008"/>
      <c r="BO110" s="1008"/>
      <c r="BP110" s="1008"/>
      <c r="BQ110" s="1011">
        <f t="shared" si="105"/>
        <v>1</v>
      </c>
      <c r="BR110" s="1008">
        <f t="shared" si="106"/>
        <v>24000000</v>
      </c>
      <c r="BS110" s="1008">
        <f t="shared" si="107"/>
        <v>0</v>
      </c>
      <c r="BT110" s="1008">
        <f t="shared" si="108"/>
        <v>0</v>
      </c>
      <c r="BU110" s="1008"/>
      <c r="BV110" s="1008">
        <f t="shared" si="109"/>
        <v>0</v>
      </c>
      <c r="BW110" s="1008"/>
      <c r="BX110" s="1008">
        <f t="shared" si="110"/>
        <v>0</v>
      </c>
      <c r="BY110" s="1008">
        <f t="shared" si="110"/>
        <v>0</v>
      </c>
      <c r="BZ110" s="1008"/>
      <c r="CA110" s="1008">
        <f t="shared" si="123"/>
        <v>0</v>
      </c>
      <c r="CB110" s="1008">
        <f t="shared" si="123"/>
        <v>0</v>
      </c>
      <c r="CC110" s="1008">
        <f t="shared" si="123"/>
        <v>0</v>
      </c>
      <c r="CD110" s="1008">
        <f t="shared" si="111"/>
        <v>0</v>
      </c>
      <c r="CE110" s="1008">
        <f t="shared" si="111"/>
        <v>0</v>
      </c>
      <c r="CF110" s="1008">
        <f t="shared" si="111"/>
        <v>0</v>
      </c>
      <c r="CG110" s="1008">
        <f t="shared" si="111"/>
        <v>0</v>
      </c>
      <c r="CH110" s="1008">
        <f t="shared" si="111"/>
        <v>0</v>
      </c>
      <c r="CI110" s="1008">
        <f t="shared" si="111"/>
        <v>24000000</v>
      </c>
      <c r="CJ110" s="1008"/>
      <c r="CK110" s="1008"/>
      <c r="CL110" s="1008">
        <f t="shared" si="112"/>
        <v>0</v>
      </c>
      <c r="CM110" s="1011">
        <f t="shared" si="113"/>
        <v>0</v>
      </c>
      <c r="CN110" s="1008">
        <f t="shared" si="114"/>
        <v>0</v>
      </c>
      <c r="CO110" s="1008"/>
      <c r="CP110" s="1008"/>
      <c r="CQ110" s="1008"/>
      <c r="CR110" s="1008"/>
      <c r="CS110" s="1008"/>
      <c r="CT110" s="1008"/>
      <c r="CU110" s="1008"/>
      <c r="CV110" s="1008"/>
      <c r="CW110" s="1008"/>
      <c r="CX110" s="1008"/>
      <c r="CY110" s="1008"/>
      <c r="CZ110" s="1008"/>
      <c r="DA110" s="1008"/>
      <c r="DB110" s="1008"/>
      <c r="DC110" s="1008"/>
      <c r="DD110" s="1008"/>
      <c r="DE110" s="1008"/>
      <c r="DF110" s="1008"/>
      <c r="DG110" s="1008"/>
      <c r="DH110" s="1008"/>
      <c r="DI110" s="1011">
        <f t="shared" si="115"/>
        <v>1</v>
      </c>
      <c r="DJ110" s="1008">
        <f t="shared" si="116"/>
        <v>24000000</v>
      </c>
      <c r="DK110" s="1008">
        <f t="shared" si="122"/>
        <v>0</v>
      </c>
      <c r="DL110" s="1008"/>
      <c r="DM110" s="1008"/>
      <c r="DN110" s="1008">
        <f>AC110-CR110</f>
        <v>0</v>
      </c>
      <c r="DO110" s="1008"/>
      <c r="DP110" s="1008">
        <f t="shared" si="117"/>
        <v>0</v>
      </c>
      <c r="DQ110" s="1008">
        <f t="shared" si="117"/>
        <v>0</v>
      </c>
      <c r="DR110" s="1008"/>
      <c r="DS110" s="1008">
        <f t="shared" si="118"/>
        <v>0</v>
      </c>
      <c r="DT110" s="1008">
        <f t="shared" si="118"/>
        <v>0</v>
      </c>
      <c r="DU110" s="1008"/>
      <c r="DV110" s="1008">
        <f t="shared" si="119"/>
        <v>0</v>
      </c>
      <c r="DW110" s="1008">
        <f t="shared" si="119"/>
        <v>0</v>
      </c>
      <c r="DX110" s="1008">
        <f t="shared" si="119"/>
        <v>0</v>
      </c>
      <c r="DY110" s="1008">
        <f t="shared" si="120"/>
        <v>0</v>
      </c>
      <c r="DZ110" s="1008">
        <f t="shared" si="120"/>
        <v>0</v>
      </c>
      <c r="EA110" s="1008">
        <f t="shared" si="120"/>
        <v>24000000</v>
      </c>
      <c r="EB110" s="1008">
        <f t="shared" si="120"/>
        <v>0</v>
      </c>
      <c r="EC110" s="1008"/>
      <c r="ED110" s="1008">
        <f t="shared" si="121"/>
        <v>0</v>
      </c>
    </row>
    <row r="111" spans="1:134" ht="33" customHeight="1" x14ac:dyDescent="0.25">
      <c r="A111" s="1559"/>
      <c r="B111" s="1019"/>
      <c r="C111" s="1094" t="s">
        <v>4465</v>
      </c>
      <c r="D111" s="1019" t="s">
        <v>4457</v>
      </c>
      <c r="E111" s="1020">
        <v>301</v>
      </c>
      <c r="F111" s="1097" t="s">
        <v>4661</v>
      </c>
      <c r="G111" s="1400"/>
      <c r="H111" s="1061">
        <f t="shared" si="100"/>
        <v>38337795</v>
      </c>
      <c r="I111" s="1061">
        <f t="shared" si="101"/>
        <v>46662205</v>
      </c>
      <c r="J111" s="1399" t="s">
        <v>4908</v>
      </c>
      <c r="K111" s="1283" t="s">
        <v>4913</v>
      </c>
      <c r="L111" s="1283" t="s">
        <v>4920</v>
      </c>
      <c r="M111" s="1093">
        <v>10</v>
      </c>
      <c r="N111" s="1093">
        <v>0</v>
      </c>
      <c r="O111" s="1093">
        <v>0</v>
      </c>
      <c r="P111" s="1093">
        <v>24</v>
      </c>
      <c r="Q111" s="1093">
        <v>12</v>
      </c>
      <c r="R111" s="1093">
        <v>3</v>
      </c>
      <c r="S111" s="1097"/>
      <c r="T111" s="1097"/>
      <c r="U111" s="1097"/>
      <c r="V111" s="1097"/>
      <c r="W111" s="1097"/>
      <c r="X111" s="1097"/>
      <c r="Y111" s="1008">
        <f t="shared" si="102"/>
        <v>85000000</v>
      </c>
      <c r="Z111" s="1008"/>
      <c r="AA111" s="1008"/>
      <c r="AB111" s="1008"/>
      <c r="AC111" s="1008"/>
      <c r="AD111" s="1008"/>
      <c r="AE111" s="1008"/>
      <c r="AF111" s="1008"/>
      <c r="AG111" s="1008"/>
      <c r="AH111" s="1008"/>
      <c r="AI111" s="1008"/>
      <c r="AJ111" s="1008"/>
      <c r="AK111" s="1008"/>
      <c r="AL111" s="1008"/>
      <c r="AM111" s="1008">
        <v>11406867</v>
      </c>
      <c r="AN111" s="1008"/>
      <c r="AO111" s="1008"/>
      <c r="AP111" s="1008">
        <v>73593133</v>
      </c>
      <c r="AQ111" s="1008"/>
      <c r="AR111" s="1008"/>
      <c r="AS111" s="1008"/>
      <c r="AU111" s="1011">
        <f t="shared" si="103"/>
        <v>1</v>
      </c>
      <c r="AV111" s="1008">
        <f t="shared" si="104"/>
        <v>85000000</v>
      </c>
      <c r="AW111" s="1008"/>
      <c r="AX111" s="1008"/>
      <c r="AY111" s="1008"/>
      <c r="AZ111" s="1008"/>
      <c r="BA111" s="1008"/>
      <c r="BB111" s="1008"/>
      <c r="BC111" s="1008"/>
      <c r="BD111" s="1008"/>
      <c r="BE111" s="1008"/>
      <c r="BF111" s="1008"/>
      <c r="BG111" s="1008"/>
      <c r="BH111" s="1008"/>
      <c r="BI111" s="1008"/>
      <c r="BJ111" s="1008">
        <f>+'[18]OCTUBRE 2015'!$W$1188</f>
        <v>11406867</v>
      </c>
      <c r="BK111" s="1008"/>
      <c r="BL111" s="1008"/>
      <c r="BM111" s="1008">
        <f>+'[18]OCTUBRE 2015'!$Z$1188</f>
        <v>73593133</v>
      </c>
      <c r="BN111" s="1008"/>
      <c r="BO111" s="1008"/>
      <c r="BP111" s="1008"/>
      <c r="BQ111" s="1011">
        <f t="shared" si="105"/>
        <v>0</v>
      </c>
      <c r="BR111" s="1008">
        <f t="shared" si="106"/>
        <v>0</v>
      </c>
      <c r="BS111" s="1008">
        <f t="shared" si="107"/>
        <v>0</v>
      </c>
      <c r="BT111" s="1008">
        <f t="shared" si="108"/>
        <v>0</v>
      </c>
      <c r="BU111" s="1008"/>
      <c r="BV111" s="1008">
        <f t="shared" si="109"/>
        <v>0</v>
      </c>
      <c r="BW111" s="1008"/>
      <c r="BX111" s="1008">
        <f t="shared" si="110"/>
        <v>0</v>
      </c>
      <c r="BY111" s="1008">
        <f t="shared" si="110"/>
        <v>0</v>
      </c>
      <c r="BZ111" s="1008"/>
      <c r="CA111" s="1008">
        <f t="shared" si="123"/>
        <v>0</v>
      </c>
      <c r="CB111" s="1008">
        <f t="shared" si="123"/>
        <v>0</v>
      </c>
      <c r="CC111" s="1008">
        <f t="shared" si="123"/>
        <v>0</v>
      </c>
      <c r="CD111" s="1008">
        <f t="shared" si="111"/>
        <v>0</v>
      </c>
      <c r="CE111" s="1008">
        <f t="shared" si="111"/>
        <v>0</v>
      </c>
      <c r="CF111" s="1008">
        <f t="shared" si="111"/>
        <v>0</v>
      </c>
      <c r="CG111" s="1008">
        <f t="shared" si="111"/>
        <v>0</v>
      </c>
      <c r="CH111" s="1008">
        <f t="shared" si="111"/>
        <v>0</v>
      </c>
      <c r="CI111" s="1008">
        <f t="shared" si="111"/>
        <v>0</v>
      </c>
      <c r="CJ111" s="1008"/>
      <c r="CK111" s="1008"/>
      <c r="CL111" s="1008">
        <f t="shared" si="112"/>
        <v>0</v>
      </c>
      <c r="CM111" s="1011">
        <f t="shared" si="113"/>
        <v>0.4510328823529412</v>
      </c>
      <c r="CN111" s="1008">
        <f t="shared" si="114"/>
        <v>38337795</v>
      </c>
      <c r="CO111" s="1008"/>
      <c r="CP111" s="1008"/>
      <c r="CQ111" s="1008"/>
      <c r="CR111" s="1008"/>
      <c r="CS111" s="1008"/>
      <c r="CT111" s="1008"/>
      <c r="CU111" s="1008"/>
      <c r="CV111" s="1008"/>
      <c r="CW111" s="1008"/>
      <c r="CX111" s="1008"/>
      <c r="CY111" s="1008"/>
      <c r="CZ111" s="1008"/>
      <c r="DA111" s="1008"/>
      <c r="DB111" s="1008">
        <v>8728499</v>
      </c>
      <c r="DC111" s="1008"/>
      <c r="DD111" s="1008"/>
      <c r="DE111" s="1008">
        <f>+'[18]OCTUBRE 2015'!$H$1191</f>
        <v>29609296</v>
      </c>
      <c r="DF111" s="1008"/>
      <c r="DG111" s="1008"/>
      <c r="DH111" s="1008"/>
      <c r="DI111" s="1011">
        <f t="shared" si="115"/>
        <v>0.54896711764705874</v>
      </c>
      <c r="DJ111" s="1008">
        <f t="shared" si="116"/>
        <v>46662205</v>
      </c>
      <c r="DK111" s="1008">
        <f t="shared" si="122"/>
        <v>0</v>
      </c>
      <c r="DL111" s="1008"/>
      <c r="DM111" s="1008"/>
      <c r="DN111" s="1008">
        <f>AC111-CR111</f>
        <v>0</v>
      </c>
      <c r="DO111" s="1008"/>
      <c r="DP111" s="1008">
        <f t="shared" si="117"/>
        <v>0</v>
      </c>
      <c r="DQ111" s="1008">
        <f t="shared" si="117"/>
        <v>0</v>
      </c>
      <c r="DR111" s="1008"/>
      <c r="DS111" s="1008">
        <f t="shared" si="118"/>
        <v>0</v>
      </c>
      <c r="DT111" s="1008">
        <f t="shared" si="118"/>
        <v>0</v>
      </c>
      <c r="DU111" s="1008"/>
      <c r="DV111" s="1008">
        <f t="shared" si="119"/>
        <v>0</v>
      </c>
      <c r="DW111" s="1008">
        <f t="shared" si="119"/>
        <v>0</v>
      </c>
      <c r="DX111" s="1008">
        <f t="shared" si="119"/>
        <v>2678368</v>
      </c>
      <c r="DY111" s="1008">
        <f t="shared" si="120"/>
        <v>0</v>
      </c>
      <c r="DZ111" s="1008">
        <f t="shared" si="120"/>
        <v>0</v>
      </c>
      <c r="EA111" s="1008">
        <f t="shared" si="120"/>
        <v>43983837</v>
      </c>
      <c r="EB111" s="1008">
        <f t="shared" si="120"/>
        <v>0</v>
      </c>
      <c r="EC111" s="1008"/>
      <c r="ED111" s="1008">
        <f t="shared" si="121"/>
        <v>0</v>
      </c>
    </row>
    <row r="112" spans="1:134" ht="26.25" customHeight="1" x14ac:dyDescent="0.25">
      <c r="A112" s="1559"/>
      <c r="B112" s="1019"/>
      <c r="C112" s="1094" t="s">
        <v>4675</v>
      </c>
      <c r="D112" s="1019" t="s">
        <v>4701</v>
      </c>
      <c r="E112" s="1020">
        <v>301</v>
      </c>
      <c r="F112" s="1097" t="s">
        <v>4688</v>
      </c>
      <c r="G112" s="1400"/>
      <c r="H112" s="1061">
        <f t="shared" si="100"/>
        <v>70768544</v>
      </c>
      <c r="I112" s="1061">
        <f t="shared" si="101"/>
        <v>9231456</v>
      </c>
      <c r="J112" s="1401"/>
      <c r="K112" s="1284"/>
      <c r="L112" s="1284"/>
      <c r="M112" s="1093">
        <v>5</v>
      </c>
      <c r="N112" s="1093">
        <v>18</v>
      </c>
      <c r="O112" s="1093">
        <v>1</v>
      </c>
      <c r="P112" s="1093">
        <v>23</v>
      </c>
      <c r="Q112" s="1093">
        <v>42</v>
      </c>
      <c r="R112" s="1093">
        <v>9</v>
      </c>
      <c r="S112" s="1097"/>
      <c r="T112" s="1097"/>
      <c r="U112" s="1097"/>
      <c r="V112" s="1097"/>
      <c r="W112" s="1097"/>
      <c r="X112" s="1097"/>
      <c r="Y112" s="1008">
        <f t="shared" si="102"/>
        <v>80000000</v>
      </c>
      <c r="Z112" s="1008">
        <v>80000000</v>
      </c>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U112" s="1011">
        <f t="shared" si="103"/>
        <v>1</v>
      </c>
      <c r="AV112" s="1008">
        <f t="shared" si="104"/>
        <v>80000000</v>
      </c>
      <c r="AW112" s="1008">
        <f>+'[10]MARZO 2015'!$J$488</f>
        <v>80000000</v>
      </c>
      <c r="AX112" s="1008"/>
      <c r="AY112" s="1008"/>
      <c r="AZ112" s="1008"/>
      <c r="BA112" s="1008"/>
      <c r="BB112" s="1008"/>
      <c r="BC112" s="1008"/>
      <c r="BD112" s="1008"/>
      <c r="BE112" s="1008"/>
      <c r="BF112" s="1008"/>
      <c r="BG112" s="1008"/>
      <c r="BH112" s="1008"/>
      <c r="BI112" s="1008"/>
      <c r="BJ112" s="1008"/>
      <c r="BK112" s="1008"/>
      <c r="BL112" s="1008"/>
      <c r="BM112" s="1008"/>
      <c r="BN112" s="1008"/>
      <c r="BO112" s="1008"/>
      <c r="BP112" s="1008"/>
      <c r="BQ112" s="1011">
        <f t="shared" si="105"/>
        <v>0</v>
      </c>
      <c r="BR112" s="1008">
        <f t="shared" si="106"/>
        <v>0</v>
      </c>
      <c r="BS112" s="1008">
        <f t="shared" si="107"/>
        <v>0</v>
      </c>
      <c r="BT112" s="1008">
        <f t="shared" si="108"/>
        <v>0</v>
      </c>
      <c r="BU112" s="1008"/>
      <c r="BV112" s="1008">
        <f t="shared" si="109"/>
        <v>0</v>
      </c>
      <c r="BW112" s="1008"/>
      <c r="BX112" s="1008"/>
      <c r="BY112" s="1008"/>
      <c r="BZ112" s="1008"/>
      <c r="CA112" s="1008"/>
      <c r="CB112" s="1008"/>
      <c r="CC112" s="1008"/>
      <c r="CD112" s="1008"/>
      <c r="CE112" s="1008">
        <f t="shared" si="111"/>
        <v>0</v>
      </c>
      <c r="CF112" s="1008">
        <f t="shared" si="111"/>
        <v>0</v>
      </c>
      <c r="CG112" s="1008">
        <f t="shared" si="111"/>
        <v>0</v>
      </c>
      <c r="CH112" s="1008">
        <f t="shared" si="111"/>
        <v>0</v>
      </c>
      <c r="CI112" s="1008"/>
      <c r="CJ112" s="1008"/>
      <c r="CK112" s="1008"/>
      <c r="CL112" s="1008">
        <f t="shared" si="112"/>
        <v>0</v>
      </c>
      <c r="CM112" s="1011">
        <f t="shared" si="113"/>
        <v>0.88460680000000003</v>
      </c>
      <c r="CN112" s="1008">
        <f t="shared" si="114"/>
        <v>70768544</v>
      </c>
      <c r="CO112" s="1008">
        <f>+'[18]OCTUBRE 2015'!$H$1197</f>
        <v>70768544</v>
      </c>
      <c r="CP112" s="1008"/>
      <c r="CQ112" s="1008"/>
      <c r="CR112" s="1008"/>
      <c r="CS112" s="1008"/>
      <c r="CT112" s="1008"/>
      <c r="CU112" s="1008"/>
      <c r="CV112" s="1008"/>
      <c r="CW112" s="1008"/>
      <c r="CX112" s="1008"/>
      <c r="CY112" s="1008"/>
      <c r="CZ112" s="1008"/>
      <c r="DA112" s="1008"/>
      <c r="DB112" s="1008"/>
      <c r="DC112" s="1008"/>
      <c r="DD112" s="1008"/>
      <c r="DE112" s="1008"/>
      <c r="DF112" s="1008"/>
      <c r="DG112" s="1008"/>
      <c r="DH112" s="1008"/>
      <c r="DI112" s="1011">
        <f t="shared" si="115"/>
        <v>0.11539319999999997</v>
      </c>
      <c r="DJ112" s="1008">
        <f t="shared" si="116"/>
        <v>9231456</v>
      </c>
      <c r="DK112" s="1008">
        <f t="shared" si="122"/>
        <v>9231456</v>
      </c>
      <c r="DL112" s="1008"/>
      <c r="DM112" s="1008"/>
      <c r="DN112" s="1008"/>
      <c r="DO112" s="1008"/>
      <c r="DP112" s="1008">
        <f>AE112-CT112</f>
        <v>0</v>
      </c>
      <c r="DQ112" s="1008"/>
      <c r="DR112" s="1008"/>
      <c r="DS112" s="1008"/>
      <c r="DT112" s="1008"/>
      <c r="DU112" s="1008"/>
      <c r="DV112" s="1008"/>
      <c r="DW112" s="1008"/>
      <c r="DX112" s="1008"/>
      <c r="DY112" s="1008">
        <f>+AN112-DC112</f>
        <v>0</v>
      </c>
      <c r="DZ112" s="1008"/>
      <c r="EA112" s="1008"/>
      <c r="EB112" s="1008"/>
      <c r="EC112" s="1008"/>
      <c r="ED112" s="1008">
        <f t="shared" si="121"/>
        <v>0</v>
      </c>
    </row>
    <row r="113" spans="1:134" ht="26.25" customHeight="1" x14ac:dyDescent="0.25">
      <c r="A113" s="1559"/>
      <c r="B113" s="1019"/>
      <c r="C113" s="1094" t="s">
        <v>4676</v>
      </c>
      <c r="D113" s="1019" t="s">
        <v>4702</v>
      </c>
      <c r="E113" s="1020">
        <v>301</v>
      </c>
      <c r="F113" s="1097" t="s">
        <v>4591</v>
      </c>
      <c r="G113" s="1400"/>
      <c r="H113" s="1061">
        <f t="shared" si="100"/>
        <v>100000000</v>
      </c>
      <c r="I113" s="1061">
        <f t="shared" si="101"/>
        <v>0</v>
      </c>
      <c r="J113" s="1399" t="s">
        <v>4914</v>
      </c>
      <c r="K113" s="1283" t="s">
        <v>4915</v>
      </c>
      <c r="L113" s="1283" t="s">
        <v>4921</v>
      </c>
      <c r="M113" s="1093">
        <v>0</v>
      </c>
      <c r="N113" s="1093">
        <v>0</v>
      </c>
      <c r="O113" s="1093">
        <v>0</v>
      </c>
      <c r="P113" s="1093">
        <v>100</v>
      </c>
      <c r="Q113" s="1093">
        <v>0</v>
      </c>
      <c r="R113" s="1093">
        <v>0</v>
      </c>
      <c r="S113" s="1097"/>
      <c r="T113" s="1097"/>
      <c r="U113" s="1097"/>
      <c r="V113" s="1097"/>
      <c r="W113" s="1097"/>
      <c r="X113" s="1097"/>
      <c r="Y113" s="1008">
        <f t="shared" si="102"/>
        <v>100000000</v>
      </c>
      <c r="Z113" s="1008"/>
      <c r="AA113" s="1008"/>
      <c r="AB113" s="1008"/>
      <c r="AC113" s="1008"/>
      <c r="AD113" s="1008"/>
      <c r="AE113" s="1008"/>
      <c r="AF113" s="1008"/>
      <c r="AG113" s="1008"/>
      <c r="AH113" s="1008"/>
      <c r="AI113" s="1008"/>
      <c r="AJ113" s="1008"/>
      <c r="AK113" s="1008"/>
      <c r="AL113" s="1008"/>
      <c r="AM113" s="1008"/>
      <c r="AN113" s="1008">
        <v>100000000</v>
      </c>
      <c r="AO113" s="1008"/>
      <c r="AP113" s="1008"/>
      <c r="AQ113" s="1008"/>
      <c r="AR113" s="1008"/>
      <c r="AS113" s="1008"/>
      <c r="AU113" s="1011">
        <f t="shared" si="103"/>
        <v>1</v>
      </c>
      <c r="AV113" s="1008">
        <f t="shared" si="104"/>
        <v>100000000</v>
      </c>
      <c r="AW113" s="1008"/>
      <c r="AX113" s="1008"/>
      <c r="AY113" s="1008"/>
      <c r="AZ113" s="1008"/>
      <c r="BA113" s="1008"/>
      <c r="BB113" s="1008"/>
      <c r="BC113" s="1008"/>
      <c r="BD113" s="1008"/>
      <c r="BE113" s="1008"/>
      <c r="BF113" s="1008"/>
      <c r="BG113" s="1008"/>
      <c r="BH113" s="1008"/>
      <c r="BI113" s="1008"/>
      <c r="BJ113" s="1008"/>
      <c r="BK113" s="1008">
        <f>+'[10]MARZO 2015'!$W$496</f>
        <v>100000000</v>
      </c>
      <c r="BL113" s="1008"/>
      <c r="BM113" s="1008"/>
      <c r="BN113" s="1008"/>
      <c r="BO113" s="1008"/>
      <c r="BP113" s="1008"/>
      <c r="BQ113" s="1011">
        <f t="shared" si="105"/>
        <v>0</v>
      </c>
      <c r="BR113" s="1008">
        <f t="shared" si="106"/>
        <v>0</v>
      </c>
      <c r="BS113" s="1008">
        <f t="shared" si="107"/>
        <v>0</v>
      </c>
      <c r="BT113" s="1008">
        <f t="shared" si="108"/>
        <v>0</v>
      </c>
      <c r="BU113" s="1008"/>
      <c r="BV113" s="1008">
        <f t="shared" si="109"/>
        <v>0</v>
      </c>
      <c r="BW113" s="1008"/>
      <c r="BX113" s="1008"/>
      <c r="BY113" s="1008"/>
      <c r="BZ113" s="1008"/>
      <c r="CA113" s="1008"/>
      <c r="CB113" s="1008"/>
      <c r="CC113" s="1008"/>
      <c r="CD113" s="1008"/>
      <c r="CE113" s="1008">
        <f t="shared" si="111"/>
        <v>0</v>
      </c>
      <c r="CF113" s="1008">
        <f t="shared" si="111"/>
        <v>0</v>
      </c>
      <c r="CG113" s="1008">
        <f t="shared" si="111"/>
        <v>0</v>
      </c>
      <c r="CH113" s="1008">
        <f t="shared" si="111"/>
        <v>0</v>
      </c>
      <c r="CI113" s="1008"/>
      <c r="CJ113" s="1008"/>
      <c r="CK113" s="1008"/>
      <c r="CL113" s="1008">
        <f t="shared" si="112"/>
        <v>0</v>
      </c>
      <c r="CM113" s="1011">
        <f t="shared" si="113"/>
        <v>1</v>
      </c>
      <c r="CN113" s="1008">
        <f t="shared" si="114"/>
        <v>100000000</v>
      </c>
      <c r="CO113" s="1008"/>
      <c r="CP113" s="1008"/>
      <c r="CQ113" s="1008"/>
      <c r="CR113" s="1008"/>
      <c r="CS113" s="1008"/>
      <c r="CT113" s="1008"/>
      <c r="CU113" s="1008"/>
      <c r="CV113" s="1008"/>
      <c r="CW113" s="1008"/>
      <c r="CX113" s="1008"/>
      <c r="CY113" s="1008"/>
      <c r="CZ113" s="1008"/>
      <c r="DA113" s="1008"/>
      <c r="DB113" s="1008"/>
      <c r="DC113" s="1008">
        <f>+'[11]ABRIL 2015'!$H$571</f>
        <v>100000000</v>
      </c>
      <c r="DD113" s="1008"/>
      <c r="DE113" s="1008"/>
      <c r="DF113" s="1008"/>
      <c r="DG113" s="1008"/>
      <c r="DH113" s="1008"/>
      <c r="DI113" s="1011">
        <f t="shared" si="115"/>
        <v>0</v>
      </c>
      <c r="DJ113" s="1008">
        <f t="shared" si="116"/>
        <v>0</v>
      </c>
      <c r="DK113" s="1008">
        <f t="shared" si="122"/>
        <v>0</v>
      </c>
      <c r="DL113" s="1008"/>
      <c r="DM113" s="1008"/>
      <c r="DN113" s="1008"/>
      <c r="DO113" s="1008"/>
      <c r="DP113" s="1008">
        <f>AE113-CT113</f>
        <v>0</v>
      </c>
      <c r="DQ113" s="1008"/>
      <c r="DR113" s="1008"/>
      <c r="DS113" s="1008"/>
      <c r="DT113" s="1008"/>
      <c r="DU113" s="1008"/>
      <c r="DV113" s="1008"/>
      <c r="DW113" s="1008"/>
      <c r="DX113" s="1008"/>
      <c r="DY113" s="1008">
        <f>+AN113-DC113</f>
        <v>0</v>
      </c>
      <c r="DZ113" s="1008"/>
      <c r="EA113" s="1008"/>
      <c r="EB113" s="1008"/>
      <c r="EC113" s="1008"/>
      <c r="ED113" s="1008">
        <f t="shared" si="121"/>
        <v>0</v>
      </c>
    </row>
    <row r="114" spans="1:134" s="203" customFormat="1" ht="33.75" customHeight="1" x14ac:dyDescent="0.25">
      <c r="A114" s="1559"/>
      <c r="B114" s="1019"/>
      <c r="C114" s="1081" t="s">
        <v>4715</v>
      </c>
      <c r="D114" s="1019" t="s">
        <v>4716</v>
      </c>
      <c r="E114" s="1020">
        <v>301</v>
      </c>
      <c r="F114" s="1097" t="s">
        <v>4661</v>
      </c>
      <c r="G114" s="1401"/>
      <c r="H114" s="1061">
        <f t="shared" si="100"/>
        <v>0</v>
      </c>
      <c r="I114" s="1061">
        <f t="shared" si="101"/>
        <v>30000000</v>
      </c>
      <c r="J114" s="1401"/>
      <c r="K114" s="1284"/>
      <c r="L114" s="1284"/>
      <c r="M114" s="1077"/>
      <c r="N114" s="1077"/>
      <c r="O114" s="1077"/>
      <c r="P114" s="1075"/>
      <c r="Q114" s="1075"/>
      <c r="R114" s="1075"/>
      <c r="S114" s="1097"/>
      <c r="T114" s="1097"/>
      <c r="U114" s="1097"/>
      <c r="V114" s="1097"/>
      <c r="W114" s="1097"/>
      <c r="X114" s="1097"/>
      <c r="Y114" s="1067">
        <f t="shared" si="102"/>
        <v>30000000</v>
      </c>
      <c r="Z114" s="1067"/>
      <c r="AA114" s="1067"/>
      <c r="AB114" s="1067"/>
      <c r="AC114" s="1067"/>
      <c r="AD114" s="1067"/>
      <c r="AE114" s="1067"/>
      <c r="AF114" s="1067"/>
      <c r="AG114" s="1067"/>
      <c r="AH114" s="1067"/>
      <c r="AI114" s="1067"/>
      <c r="AJ114" s="1067"/>
      <c r="AK114" s="1067"/>
      <c r="AL114" s="1067"/>
      <c r="AM114" s="1067"/>
      <c r="AN114" s="1067"/>
      <c r="AO114" s="1067">
        <v>30000000</v>
      </c>
      <c r="AP114" s="1067"/>
      <c r="AQ114" s="1067"/>
      <c r="AR114" s="1067"/>
      <c r="AS114" s="1067"/>
      <c r="AU114" s="1082">
        <f t="shared" si="103"/>
        <v>1</v>
      </c>
      <c r="AV114" s="1067">
        <f t="shared" si="104"/>
        <v>30000000</v>
      </c>
      <c r="AW114" s="1067"/>
      <c r="AX114" s="1067"/>
      <c r="AY114" s="1067"/>
      <c r="AZ114" s="1067"/>
      <c r="BA114" s="1067"/>
      <c r="BB114" s="1067"/>
      <c r="BC114" s="1067"/>
      <c r="BD114" s="1067"/>
      <c r="BE114" s="1067"/>
      <c r="BF114" s="1067"/>
      <c r="BG114" s="1067"/>
      <c r="BH114" s="1067"/>
      <c r="BI114" s="1067"/>
      <c r="BJ114" s="1067"/>
      <c r="BK114" s="1067"/>
      <c r="BL114" s="1067">
        <f>+'[18]OCTUBRE 2015'!$Y$1239</f>
        <v>30000000</v>
      </c>
      <c r="BM114" s="1067"/>
      <c r="BN114" s="1067"/>
      <c r="BO114" s="1067"/>
      <c r="BP114" s="1067"/>
      <c r="BQ114" s="1082">
        <f t="shared" si="105"/>
        <v>0</v>
      </c>
      <c r="BR114" s="1067">
        <f t="shared" si="106"/>
        <v>0</v>
      </c>
      <c r="BS114" s="1067"/>
      <c r="BT114" s="1067"/>
      <c r="BU114" s="1067"/>
      <c r="BV114" s="1067"/>
      <c r="BW114" s="1067"/>
      <c r="BX114" s="1067"/>
      <c r="BY114" s="1067"/>
      <c r="BZ114" s="1067"/>
      <c r="CA114" s="1067"/>
      <c r="CB114" s="1067"/>
      <c r="CC114" s="1067"/>
      <c r="CD114" s="1067"/>
      <c r="CE114" s="1067"/>
      <c r="CF114" s="1067"/>
      <c r="CG114" s="1067"/>
      <c r="CH114" s="1067">
        <f t="shared" si="111"/>
        <v>0</v>
      </c>
      <c r="CI114" s="1067"/>
      <c r="CJ114" s="1067"/>
      <c r="CK114" s="1067"/>
      <c r="CL114" s="1067"/>
      <c r="CM114" s="1082">
        <f t="shared" si="113"/>
        <v>0</v>
      </c>
      <c r="CN114" s="1067">
        <f t="shared" si="114"/>
        <v>0</v>
      </c>
      <c r="CO114" s="1067"/>
      <c r="CP114" s="1067"/>
      <c r="CQ114" s="1067"/>
      <c r="CR114" s="1067"/>
      <c r="CS114" s="1067"/>
      <c r="CT114" s="1067"/>
      <c r="CU114" s="1067"/>
      <c r="CV114" s="1067"/>
      <c r="CW114" s="1067"/>
      <c r="CX114" s="1067"/>
      <c r="CY114" s="1067"/>
      <c r="CZ114" s="1067"/>
      <c r="DA114" s="1067"/>
      <c r="DB114" s="1067"/>
      <c r="DC114" s="1067"/>
      <c r="DD114" s="1067"/>
      <c r="DE114" s="1067"/>
      <c r="DF114" s="1067"/>
      <c r="DG114" s="1067"/>
      <c r="DH114" s="1067"/>
      <c r="DI114" s="1082">
        <f t="shared" si="115"/>
        <v>1</v>
      </c>
      <c r="DJ114" s="1067">
        <f t="shared" si="116"/>
        <v>30000000</v>
      </c>
      <c r="DK114" s="1067"/>
      <c r="DL114" s="1067"/>
      <c r="DM114" s="1067"/>
      <c r="DN114" s="1067"/>
      <c r="DO114" s="1067"/>
      <c r="DP114" s="1067"/>
      <c r="DQ114" s="1067"/>
      <c r="DR114" s="1067"/>
      <c r="DS114" s="1067"/>
      <c r="DT114" s="1067"/>
      <c r="DU114" s="1067"/>
      <c r="DV114" s="1067"/>
      <c r="DW114" s="1067"/>
      <c r="DX114" s="1067"/>
      <c r="DY114" s="1067"/>
      <c r="DZ114" s="1067">
        <f t="shared" ref="DZ114:EB128" si="124">+AO114-DD114</f>
        <v>30000000</v>
      </c>
      <c r="EA114" s="1067"/>
      <c r="EB114" s="1067"/>
      <c r="EC114" s="1067"/>
      <c r="ED114" s="1067"/>
    </row>
    <row r="115" spans="1:134" ht="42.75" customHeight="1" x14ac:dyDescent="0.25">
      <c r="A115" s="1559"/>
      <c r="B115" s="1028" t="s">
        <v>4442</v>
      </c>
      <c r="C115" s="347" t="s">
        <v>4634</v>
      </c>
      <c r="D115" s="1019" t="s">
        <v>4459</v>
      </c>
      <c r="E115" s="1593">
        <v>301</v>
      </c>
      <c r="F115" s="1399" t="s">
        <v>4739</v>
      </c>
      <c r="G115" s="1068">
        <v>304000000</v>
      </c>
      <c r="H115" s="1061">
        <f t="shared" si="100"/>
        <v>296730427</v>
      </c>
      <c r="I115" s="1061">
        <f t="shared" si="101"/>
        <v>15269573</v>
      </c>
      <c r="J115" s="1097" t="s">
        <v>4937</v>
      </c>
      <c r="K115" s="1093" t="s">
        <v>4940</v>
      </c>
      <c r="L115" s="1093" t="s">
        <v>4943</v>
      </c>
      <c r="M115" s="1283">
        <v>12</v>
      </c>
      <c r="N115" s="1093">
        <v>0</v>
      </c>
      <c r="O115" s="1093">
        <v>0</v>
      </c>
      <c r="P115" s="1283">
        <v>45</v>
      </c>
      <c r="Q115" s="1093">
        <v>57</v>
      </c>
      <c r="R115" s="1093">
        <v>26</v>
      </c>
      <c r="S115" s="1097"/>
      <c r="T115" s="1097"/>
      <c r="U115" s="1097"/>
      <c r="V115" s="1097"/>
      <c r="W115" s="1097"/>
      <c r="X115" s="1097"/>
      <c r="Y115" s="1008">
        <f t="shared" si="102"/>
        <v>312000000</v>
      </c>
      <c r="Z115" s="1008"/>
      <c r="AA115" s="1008"/>
      <c r="AB115" s="1008"/>
      <c r="AC115" s="1008"/>
      <c r="AD115" s="1008"/>
      <c r="AE115" s="1008"/>
      <c r="AF115" s="1008"/>
      <c r="AG115" s="1008"/>
      <c r="AH115" s="1008"/>
      <c r="AI115" s="1008"/>
      <c r="AJ115" s="1008"/>
      <c r="AK115" s="1008"/>
      <c r="AL115" s="1008"/>
      <c r="AM115" s="1008">
        <v>300000000</v>
      </c>
      <c r="AN115" s="1008"/>
      <c r="AO115" s="1008"/>
      <c r="AP115" s="1008"/>
      <c r="AQ115" s="1008"/>
      <c r="AR115" s="1008"/>
      <c r="AS115" s="1008">
        <f>4000000+8000000</f>
        <v>12000000</v>
      </c>
      <c r="AU115" s="1011">
        <f t="shared" si="103"/>
        <v>0.99425641025641021</v>
      </c>
      <c r="AV115" s="1008">
        <f t="shared" si="104"/>
        <v>310208000</v>
      </c>
      <c r="AW115" s="1008"/>
      <c r="AX115" s="1008"/>
      <c r="AY115" s="1008"/>
      <c r="AZ115" s="1008"/>
      <c r="BA115" s="1008"/>
      <c r="BB115" s="1008"/>
      <c r="BC115" s="1008"/>
      <c r="BD115" s="1008"/>
      <c r="BE115" s="1008"/>
      <c r="BF115" s="1008"/>
      <c r="BG115" s="1008"/>
      <c r="BH115" s="1008"/>
      <c r="BI115" s="1008"/>
      <c r="BJ115" s="1008">
        <f>+'[16]AGOSTO 2015'!$W$943</f>
        <v>298208000</v>
      </c>
      <c r="BK115" s="1008"/>
      <c r="BL115" s="1008"/>
      <c r="BM115" s="1008"/>
      <c r="BN115" s="1008"/>
      <c r="BO115" s="1008"/>
      <c r="BP115" s="1008">
        <f>+'[15]JULIO 2015'!$AD$839</f>
        <v>12000000</v>
      </c>
      <c r="BQ115" s="1011">
        <f t="shared" si="105"/>
        <v>5.7435897435897942E-3</v>
      </c>
      <c r="BR115" s="1008">
        <f t="shared" si="106"/>
        <v>1792000</v>
      </c>
      <c r="BS115" s="1008">
        <f t="shared" ref="BS115:BS128" si="125">+Z115-AW115</f>
        <v>0</v>
      </c>
      <c r="BT115" s="1008">
        <f t="shared" ref="BT115:BT128" si="126">AA115-AX115</f>
        <v>0</v>
      </c>
      <c r="BU115" s="1008"/>
      <c r="BV115" s="1008">
        <f t="shared" ref="BV115:BV128" si="127">AC115-AZ115</f>
        <v>0</v>
      </c>
      <c r="BW115" s="1008"/>
      <c r="BX115" s="1008">
        <f t="shared" ref="BX115:BY128" si="128">+AE115-BB115</f>
        <v>0</v>
      </c>
      <c r="BY115" s="1008">
        <f t="shared" si="128"/>
        <v>0</v>
      </c>
      <c r="BZ115" s="1008"/>
      <c r="CA115" s="1008">
        <f t="shared" ref="CA115:CG128" si="129">+AH115-BE115</f>
        <v>0</v>
      </c>
      <c r="CB115" s="1008">
        <f t="shared" si="129"/>
        <v>0</v>
      </c>
      <c r="CC115" s="1008">
        <f t="shared" si="129"/>
        <v>0</v>
      </c>
      <c r="CD115" s="1008">
        <f t="shared" si="129"/>
        <v>0</v>
      </c>
      <c r="CE115" s="1008">
        <f t="shared" si="129"/>
        <v>0</v>
      </c>
      <c r="CF115" s="1008">
        <f t="shared" si="129"/>
        <v>1792000</v>
      </c>
      <c r="CG115" s="1008">
        <f t="shared" si="129"/>
        <v>0</v>
      </c>
      <c r="CH115" s="1008">
        <f t="shared" si="111"/>
        <v>0</v>
      </c>
      <c r="CI115" s="1008">
        <f t="shared" si="111"/>
        <v>0</v>
      </c>
      <c r="CJ115" s="1008"/>
      <c r="CK115" s="1008"/>
      <c r="CL115" s="1008">
        <f t="shared" ref="CL115:CL128" si="130">+AS115-BP115</f>
        <v>0</v>
      </c>
      <c r="CM115" s="1011">
        <f t="shared" si="113"/>
        <v>0.95105906089743586</v>
      </c>
      <c r="CN115" s="1008">
        <f t="shared" si="114"/>
        <v>296730427</v>
      </c>
      <c r="CO115" s="1008"/>
      <c r="CP115" s="1008"/>
      <c r="CQ115" s="1008"/>
      <c r="CR115" s="1008"/>
      <c r="CS115" s="1008"/>
      <c r="CT115" s="1008"/>
      <c r="CU115" s="1008"/>
      <c r="CV115" s="1008"/>
      <c r="CW115" s="1008"/>
      <c r="CX115" s="1008"/>
      <c r="CY115" s="1008"/>
      <c r="CZ115" s="1008"/>
      <c r="DA115" s="1008"/>
      <c r="DB115" s="1008">
        <f>+'[18]OCTUBRE 2015'!$H$1246-DH115</f>
        <v>295730427</v>
      </c>
      <c r="DC115" s="1008"/>
      <c r="DD115" s="1008"/>
      <c r="DE115" s="1008"/>
      <c r="DF115" s="1008"/>
      <c r="DG115" s="1008"/>
      <c r="DH115" s="1008">
        <f>+'[17]SEPTIEMBRE 2015'!$H$1144</f>
        <v>1000000</v>
      </c>
      <c r="DI115" s="1011">
        <f t="shared" si="115"/>
        <v>4.894093910256414E-2</v>
      </c>
      <c r="DJ115" s="1008">
        <f t="shared" si="116"/>
        <v>15269573</v>
      </c>
      <c r="DK115" s="1008">
        <f t="shared" ref="DK115:DK128" si="131">Z115-CO115</f>
        <v>0</v>
      </c>
      <c r="DL115" s="1008"/>
      <c r="DM115" s="1008"/>
      <c r="DN115" s="1008">
        <f t="shared" ref="DN115:DN128" si="132">AC115-CR115</f>
        <v>0</v>
      </c>
      <c r="DO115" s="1008"/>
      <c r="DP115" s="1008">
        <f t="shared" ref="DP115:DQ128" si="133">AE115-CT115</f>
        <v>0</v>
      </c>
      <c r="DQ115" s="1008">
        <f t="shared" si="133"/>
        <v>0</v>
      </c>
      <c r="DR115" s="1008"/>
      <c r="DS115" s="1008">
        <f t="shared" ref="DS115:DT128" si="134">+AH115-CW115</f>
        <v>0</v>
      </c>
      <c r="DT115" s="1008">
        <f t="shared" si="134"/>
        <v>0</v>
      </c>
      <c r="DU115" s="1008"/>
      <c r="DV115" s="1008">
        <f t="shared" ref="DV115:DX128" si="135">AK115-CZ115</f>
        <v>0</v>
      </c>
      <c r="DW115" s="1008">
        <f t="shared" si="135"/>
        <v>0</v>
      </c>
      <c r="DX115" s="1008">
        <f t="shared" si="135"/>
        <v>4269573</v>
      </c>
      <c r="DY115" s="1008">
        <f t="shared" ref="DY115:DY128" si="136">+AN115-DC115</f>
        <v>0</v>
      </c>
      <c r="DZ115" s="1008">
        <f t="shared" si="124"/>
        <v>0</v>
      </c>
      <c r="EA115" s="1008">
        <f t="shared" si="124"/>
        <v>0</v>
      </c>
      <c r="EB115" s="1008">
        <f t="shared" si="124"/>
        <v>0</v>
      </c>
      <c r="EC115" s="1008"/>
      <c r="ED115" s="1008">
        <f t="shared" ref="ED115:ED128" si="137">+AS115-DH115</f>
        <v>11000000</v>
      </c>
    </row>
    <row r="116" spans="1:134" s="203" customFormat="1" ht="27" hidden="1" customHeight="1" x14ac:dyDescent="0.25">
      <c r="A116" s="1559"/>
      <c r="B116" s="1085"/>
      <c r="C116" s="1086"/>
      <c r="D116" s="1019" t="s">
        <v>4934</v>
      </c>
      <c r="E116" s="1597"/>
      <c r="F116" s="1400"/>
      <c r="G116" s="1087"/>
      <c r="H116" s="1061"/>
      <c r="I116" s="1061"/>
      <c r="J116" s="1097" t="s">
        <v>4936</v>
      </c>
      <c r="K116" s="1093" t="s">
        <v>4939</v>
      </c>
      <c r="L116" s="1093" t="s">
        <v>4942</v>
      </c>
      <c r="M116" s="1573"/>
      <c r="N116" s="1093">
        <v>0</v>
      </c>
      <c r="O116" s="1093">
        <v>0</v>
      </c>
      <c r="P116" s="1573"/>
      <c r="Q116" s="1093">
        <v>68</v>
      </c>
      <c r="R116" s="1093">
        <v>0</v>
      </c>
      <c r="S116" s="1097"/>
      <c r="T116" s="1097"/>
      <c r="U116" s="1097"/>
      <c r="V116" s="1097"/>
      <c r="W116" s="1097"/>
      <c r="X116" s="1097"/>
      <c r="Y116" s="1067"/>
      <c r="Z116" s="1067"/>
      <c r="AA116" s="1067"/>
      <c r="AB116" s="1067"/>
      <c r="AC116" s="1067"/>
      <c r="AD116" s="1067"/>
      <c r="AE116" s="1067"/>
      <c r="AF116" s="1067"/>
      <c r="AG116" s="1067"/>
      <c r="AH116" s="1067"/>
      <c r="AI116" s="1067"/>
      <c r="AJ116" s="1067"/>
      <c r="AK116" s="1067"/>
      <c r="AL116" s="1067"/>
      <c r="AM116" s="1067"/>
      <c r="AN116" s="1067"/>
      <c r="AO116" s="1067"/>
      <c r="AP116" s="1067"/>
      <c r="AQ116" s="1067"/>
      <c r="AR116" s="1067"/>
      <c r="AS116" s="1067"/>
      <c r="AU116" s="1082"/>
      <c r="AV116" s="1067"/>
      <c r="AW116" s="1067"/>
      <c r="AX116" s="1067"/>
      <c r="AY116" s="1067"/>
      <c r="AZ116" s="1067"/>
      <c r="BA116" s="1067"/>
      <c r="BB116" s="1067"/>
      <c r="BC116" s="1067"/>
      <c r="BD116" s="1067"/>
      <c r="BE116" s="1067"/>
      <c r="BF116" s="1067"/>
      <c r="BG116" s="1067"/>
      <c r="BH116" s="1067"/>
      <c r="BI116" s="1067"/>
      <c r="BJ116" s="1067"/>
      <c r="BK116" s="1067"/>
      <c r="BL116" s="1067"/>
      <c r="BM116" s="1067"/>
      <c r="BN116" s="1067"/>
      <c r="BO116" s="1067"/>
      <c r="BP116" s="1067"/>
      <c r="BQ116" s="1082"/>
      <c r="BR116" s="1067"/>
      <c r="BS116" s="1067"/>
      <c r="BT116" s="1067"/>
      <c r="BU116" s="1067"/>
      <c r="BV116" s="1067"/>
      <c r="BW116" s="1067"/>
      <c r="BX116" s="1067"/>
      <c r="BY116" s="1067"/>
      <c r="BZ116" s="1067"/>
      <c r="CA116" s="1067"/>
      <c r="CB116" s="1067"/>
      <c r="CC116" s="1067"/>
      <c r="CD116" s="1067"/>
      <c r="CE116" s="1067"/>
      <c r="CF116" s="1067"/>
      <c r="CG116" s="1067"/>
      <c r="CH116" s="1067"/>
      <c r="CI116" s="1067"/>
      <c r="CJ116" s="1067"/>
      <c r="CK116" s="1067"/>
      <c r="CL116" s="1067"/>
      <c r="CM116" s="1082"/>
      <c r="CN116" s="1067"/>
      <c r="CO116" s="1067"/>
      <c r="CP116" s="1067"/>
      <c r="CQ116" s="1067"/>
      <c r="CR116" s="1067"/>
      <c r="CS116" s="1067"/>
      <c r="CT116" s="1067"/>
      <c r="CU116" s="1067"/>
      <c r="CV116" s="1067"/>
      <c r="CW116" s="1067"/>
      <c r="CX116" s="1067"/>
      <c r="CY116" s="1067"/>
      <c r="CZ116" s="1067"/>
      <c r="DA116" s="1067"/>
      <c r="DB116" s="1067"/>
      <c r="DC116" s="1067"/>
      <c r="DD116" s="1067"/>
      <c r="DE116" s="1067"/>
      <c r="DF116" s="1067"/>
      <c r="DG116" s="1067"/>
      <c r="DH116" s="1067"/>
      <c r="DI116" s="1082"/>
      <c r="DJ116" s="1067"/>
      <c r="DK116" s="1067"/>
      <c r="DL116" s="1067"/>
      <c r="DM116" s="1067"/>
      <c r="DN116" s="1067"/>
      <c r="DO116" s="1067"/>
      <c r="DP116" s="1067"/>
      <c r="DQ116" s="1067"/>
      <c r="DR116" s="1067"/>
      <c r="DS116" s="1067"/>
      <c r="DT116" s="1067"/>
      <c r="DU116" s="1067"/>
      <c r="DV116" s="1067"/>
      <c r="DW116" s="1067"/>
      <c r="DX116" s="1067"/>
      <c r="DY116" s="1067"/>
      <c r="DZ116" s="1067"/>
      <c r="EA116" s="1067"/>
      <c r="EB116" s="1067"/>
      <c r="EC116" s="1067"/>
      <c r="ED116" s="1067"/>
    </row>
    <row r="117" spans="1:134" s="203" customFormat="1" ht="27" hidden="1" customHeight="1" x14ac:dyDescent="0.25">
      <c r="A117" s="1559"/>
      <c r="B117" s="1027"/>
      <c r="C117" s="1088"/>
      <c r="D117" s="1019" t="s">
        <v>4935</v>
      </c>
      <c r="E117" s="1594"/>
      <c r="F117" s="1401"/>
      <c r="G117" s="1072"/>
      <c r="H117" s="1061"/>
      <c r="I117" s="1061"/>
      <c r="J117" s="1097" t="s">
        <v>4938</v>
      </c>
      <c r="K117" s="1093" t="s">
        <v>4941</v>
      </c>
      <c r="L117" s="1093" t="s">
        <v>4944</v>
      </c>
      <c r="M117" s="1284"/>
      <c r="N117" s="1093">
        <v>0</v>
      </c>
      <c r="O117" s="1093">
        <v>0</v>
      </c>
      <c r="P117" s="1284"/>
      <c r="Q117" s="1093">
        <v>23</v>
      </c>
      <c r="R117" s="1093">
        <v>0</v>
      </c>
      <c r="S117" s="1097"/>
      <c r="T117" s="1097"/>
      <c r="U117" s="1097"/>
      <c r="V117" s="1097"/>
      <c r="W117" s="1097"/>
      <c r="X117" s="1097"/>
      <c r="Y117" s="1067"/>
      <c r="Z117" s="1067"/>
      <c r="AA117" s="1067"/>
      <c r="AB117" s="1067"/>
      <c r="AC117" s="1067"/>
      <c r="AD117" s="1067"/>
      <c r="AE117" s="1067"/>
      <c r="AF117" s="1067"/>
      <c r="AG117" s="1067"/>
      <c r="AH117" s="1067"/>
      <c r="AI117" s="1067"/>
      <c r="AJ117" s="1067"/>
      <c r="AK117" s="1067"/>
      <c r="AL117" s="1067"/>
      <c r="AM117" s="1067"/>
      <c r="AN117" s="1067"/>
      <c r="AO117" s="1067"/>
      <c r="AP117" s="1067"/>
      <c r="AQ117" s="1067"/>
      <c r="AR117" s="1067"/>
      <c r="AS117" s="1067"/>
      <c r="AU117" s="1082"/>
      <c r="AV117" s="1067"/>
      <c r="AW117" s="1067"/>
      <c r="AX117" s="1067"/>
      <c r="AY117" s="1067"/>
      <c r="AZ117" s="1067"/>
      <c r="BA117" s="1067"/>
      <c r="BB117" s="1067"/>
      <c r="BC117" s="1067"/>
      <c r="BD117" s="1067"/>
      <c r="BE117" s="1067"/>
      <c r="BF117" s="1067"/>
      <c r="BG117" s="1067"/>
      <c r="BH117" s="1067"/>
      <c r="BI117" s="1067"/>
      <c r="BJ117" s="1067"/>
      <c r="BK117" s="1067"/>
      <c r="BL117" s="1067"/>
      <c r="BM117" s="1067"/>
      <c r="BN117" s="1067"/>
      <c r="BO117" s="1067"/>
      <c r="BP117" s="1067"/>
      <c r="BQ117" s="1082"/>
      <c r="BR117" s="1067"/>
      <c r="BS117" s="1067"/>
      <c r="BT117" s="1067"/>
      <c r="BU117" s="1067"/>
      <c r="BV117" s="1067"/>
      <c r="BW117" s="1067"/>
      <c r="BX117" s="1067"/>
      <c r="BY117" s="1067"/>
      <c r="BZ117" s="1067"/>
      <c r="CA117" s="1067"/>
      <c r="CB117" s="1067"/>
      <c r="CC117" s="1067"/>
      <c r="CD117" s="1067"/>
      <c r="CE117" s="1067"/>
      <c r="CF117" s="1067"/>
      <c r="CG117" s="1067"/>
      <c r="CH117" s="1067"/>
      <c r="CI117" s="1067"/>
      <c r="CJ117" s="1067"/>
      <c r="CK117" s="1067"/>
      <c r="CL117" s="1067"/>
      <c r="CM117" s="1082"/>
      <c r="CN117" s="1067"/>
      <c r="CO117" s="1067"/>
      <c r="CP117" s="1067"/>
      <c r="CQ117" s="1067"/>
      <c r="CR117" s="1067"/>
      <c r="CS117" s="1067"/>
      <c r="CT117" s="1067"/>
      <c r="CU117" s="1067"/>
      <c r="CV117" s="1067"/>
      <c r="CW117" s="1067"/>
      <c r="CX117" s="1067"/>
      <c r="CY117" s="1067"/>
      <c r="CZ117" s="1067"/>
      <c r="DA117" s="1067"/>
      <c r="DB117" s="1067"/>
      <c r="DC117" s="1067"/>
      <c r="DD117" s="1067"/>
      <c r="DE117" s="1067"/>
      <c r="DF117" s="1067"/>
      <c r="DG117" s="1067"/>
      <c r="DH117" s="1067"/>
      <c r="DI117" s="1082"/>
      <c r="DJ117" s="1067"/>
      <c r="DK117" s="1067"/>
      <c r="DL117" s="1067"/>
      <c r="DM117" s="1067"/>
      <c r="DN117" s="1067"/>
      <c r="DO117" s="1067"/>
      <c r="DP117" s="1067"/>
      <c r="DQ117" s="1067"/>
      <c r="DR117" s="1067"/>
      <c r="DS117" s="1067"/>
      <c r="DT117" s="1067"/>
      <c r="DU117" s="1067"/>
      <c r="DV117" s="1067"/>
      <c r="DW117" s="1067"/>
      <c r="DX117" s="1067"/>
      <c r="DY117" s="1067"/>
      <c r="DZ117" s="1067"/>
      <c r="EA117" s="1067"/>
      <c r="EB117" s="1067"/>
      <c r="EC117" s="1067"/>
      <c r="ED117" s="1067"/>
    </row>
    <row r="118" spans="1:134" ht="71.25" customHeight="1" x14ac:dyDescent="0.25">
      <c r="A118" s="1559"/>
      <c r="B118" s="1019" t="s">
        <v>4443</v>
      </c>
      <c r="C118" s="1094" t="s">
        <v>4635</v>
      </c>
      <c r="D118" s="1019" t="s">
        <v>4460</v>
      </c>
      <c r="E118" s="1020">
        <v>301</v>
      </c>
      <c r="F118" s="1097" t="s">
        <v>4740</v>
      </c>
      <c r="G118" s="1097">
        <v>306000000</v>
      </c>
      <c r="H118" s="1061">
        <f t="shared" si="100"/>
        <v>276578734</v>
      </c>
      <c r="I118" s="1061">
        <f>Y118-H118</f>
        <v>43421266</v>
      </c>
      <c r="J118" s="1097" t="s">
        <v>4950</v>
      </c>
      <c r="K118" s="1093" t="s">
        <v>4954</v>
      </c>
      <c r="L118" s="1093" t="s">
        <v>4958</v>
      </c>
      <c r="M118" s="1283">
        <v>13</v>
      </c>
      <c r="N118" s="1093">
        <v>21</v>
      </c>
      <c r="O118" s="1093">
        <v>3</v>
      </c>
      <c r="P118" s="1283">
        <v>32</v>
      </c>
      <c r="Q118" s="1093">
        <v>47</v>
      </c>
      <c r="R118" s="1093">
        <v>15</v>
      </c>
      <c r="S118" s="1097"/>
      <c r="T118" s="1097"/>
      <c r="U118" s="1097"/>
      <c r="V118" s="1097"/>
      <c r="W118" s="1097"/>
      <c r="X118" s="1097"/>
      <c r="Y118" s="1008">
        <f t="shared" si="102"/>
        <v>320000000</v>
      </c>
      <c r="Z118" s="1008"/>
      <c r="AA118" s="1008"/>
      <c r="AB118" s="1008"/>
      <c r="AC118" s="1008"/>
      <c r="AD118" s="1008"/>
      <c r="AE118" s="1008"/>
      <c r="AF118" s="1008"/>
      <c r="AG118" s="1008"/>
      <c r="AH118" s="1008"/>
      <c r="AI118" s="1008"/>
      <c r="AJ118" s="1008"/>
      <c r="AK118" s="1008"/>
      <c r="AL118" s="1008"/>
      <c r="AM118" s="1008">
        <v>300000000</v>
      </c>
      <c r="AN118" s="1008"/>
      <c r="AO118" s="1008"/>
      <c r="AP118" s="1008"/>
      <c r="AQ118" s="1008"/>
      <c r="AR118" s="1008"/>
      <c r="AS118" s="1008">
        <f>1000000+5000000+11000000+3000000</f>
        <v>20000000</v>
      </c>
      <c r="AU118" s="1011">
        <f t="shared" si="103"/>
        <v>0.93057593750000001</v>
      </c>
      <c r="AV118" s="1008">
        <f t="shared" si="104"/>
        <v>297784300</v>
      </c>
      <c r="AW118" s="1008"/>
      <c r="AX118" s="1008"/>
      <c r="AY118" s="1008"/>
      <c r="AZ118" s="1008"/>
      <c r="BA118" s="1008"/>
      <c r="BB118" s="1008"/>
      <c r="BC118" s="1008"/>
      <c r="BD118" s="1008"/>
      <c r="BE118" s="1008"/>
      <c r="BF118" s="1008"/>
      <c r="BG118" s="1008"/>
      <c r="BH118" s="1008"/>
      <c r="BI118" s="1008"/>
      <c r="BJ118" s="1008">
        <f>+'[14]JUNIO 2015'!$W$749</f>
        <v>282584300</v>
      </c>
      <c r="BK118" s="1008"/>
      <c r="BL118" s="1008"/>
      <c r="BM118" s="1008"/>
      <c r="BN118" s="1008"/>
      <c r="BO118" s="1008"/>
      <c r="BP118" s="1008">
        <f>+'[16]AGOSTO 2015'!$AD$997</f>
        <v>15200000</v>
      </c>
      <c r="BQ118" s="1011">
        <f t="shared" si="105"/>
        <v>6.9424062499999994E-2</v>
      </c>
      <c r="BR118" s="1008">
        <f t="shared" si="106"/>
        <v>22215700</v>
      </c>
      <c r="BS118" s="1008">
        <f t="shared" si="125"/>
        <v>0</v>
      </c>
      <c r="BT118" s="1008">
        <f t="shared" si="126"/>
        <v>0</v>
      </c>
      <c r="BU118" s="1008"/>
      <c r="BV118" s="1008">
        <f t="shared" si="127"/>
        <v>0</v>
      </c>
      <c r="BW118" s="1008"/>
      <c r="BX118" s="1008">
        <f t="shared" si="128"/>
        <v>0</v>
      </c>
      <c r="BY118" s="1008">
        <f t="shared" si="128"/>
        <v>0</v>
      </c>
      <c r="BZ118" s="1008"/>
      <c r="CA118" s="1008">
        <f t="shared" si="129"/>
        <v>0</v>
      </c>
      <c r="CB118" s="1008">
        <f t="shared" si="129"/>
        <v>0</v>
      </c>
      <c r="CC118" s="1008">
        <f t="shared" si="129"/>
        <v>0</v>
      </c>
      <c r="CD118" s="1008">
        <f t="shared" si="129"/>
        <v>0</v>
      </c>
      <c r="CE118" s="1008">
        <f t="shared" si="129"/>
        <v>0</v>
      </c>
      <c r="CF118" s="1008">
        <f t="shared" si="129"/>
        <v>17415700</v>
      </c>
      <c r="CG118" s="1008">
        <f t="shared" si="129"/>
        <v>0</v>
      </c>
      <c r="CH118" s="1008">
        <f t="shared" si="111"/>
        <v>0</v>
      </c>
      <c r="CI118" s="1008">
        <f t="shared" si="111"/>
        <v>0</v>
      </c>
      <c r="CJ118" s="1008"/>
      <c r="CK118" s="1008"/>
      <c r="CL118" s="1008">
        <f t="shared" si="130"/>
        <v>4800000</v>
      </c>
      <c r="CM118" s="1011">
        <f t="shared" si="113"/>
        <v>0.86430854374999999</v>
      </c>
      <c r="CN118" s="1008">
        <f t="shared" si="114"/>
        <v>276578734</v>
      </c>
      <c r="CO118" s="1008"/>
      <c r="CP118" s="1008"/>
      <c r="CQ118" s="1008"/>
      <c r="CR118" s="1008"/>
      <c r="CS118" s="1008"/>
      <c r="CT118" s="1008"/>
      <c r="CU118" s="1008"/>
      <c r="CV118" s="1008"/>
      <c r="CW118" s="1008"/>
      <c r="CX118" s="1008"/>
      <c r="CY118" s="1008"/>
      <c r="CZ118" s="1008"/>
      <c r="DA118" s="1008"/>
      <c r="DB118" s="1008">
        <f>+'[18]OCTUBRE 2015'!$H$1316+'[18]OCTUBRE 2015'!$H$1318+'[18]OCTUBRE 2015'!$H$1320+'[18]OCTUBRE 2015'!$H$1349</f>
        <v>267643734</v>
      </c>
      <c r="DC118" s="1008"/>
      <c r="DD118" s="1008"/>
      <c r="DE118" s="1008"/>
      <c r="DF118" s="1008"/>
      <c r="DG118" s="1008"/>
      <c r="DH118" s="1008">
        <f>+'[18]OCTUBRE 2015'!$H$1357+'[18]OCTUBRE 2015'!$H$1355+'[18]OCTUBRE 2015'!$H$1350+'[18]OCTUBRE 2015'!$H$1347+'[18]OCTUBRE 2015'!$H$1315</f>
        <v>8935000</v>
      </c>
      <c r="DI118" s="1011">
        <f t="shared" si="115"/>
        <v>0.13569145625000001</v>
      </c>
      <c r="DJ118" s="1008">
        <f t="shared" si="116"/>
        <v>43421266</v>
      </c>
      <c r="DK118" s="1008">
        <f t="shared" si="131"/>
        <v>0</v>
      </c>
      <c r="DL118" s="1008"/>
      <c r="DM118" s="1008"/>
      <c r="DN118" s="1008">
        <f t="shared" si="132"/>
        <v>0</v>
      </c>
      <c r="DO118" s="1008"/>
      <c r="DP118" s="1008">
        <f t="shared" si="133"/>
        <v>0</v>
      </c>
      <c r="DQ118" s="1008">
        <f t="shared" si="133"/>
        <v>0</v>
      </c>
      <c r="DR118" s="1008"/>
      <c r="DS118" s="1008">
        <f t="shared" si="134"/>
        <v>0</v>
      </c>
      <c r="DT118" s="1008">
        <f t="shared" si="134"/>
        <v>0</v>
      </c>
      <c r="DU118" s="1008"/>
      <c r="DV118" s="1008">
        <f t="shared" si="135"/>
        <v>0</v>
      </c>
      <c r="DW118" s="1008">
        <f t="shared" si="135"/>
        <v>0</v>
      </c>
      <c r="DX118" s="1008">
        <f t="shared" si="135"/>
        <v>32356266</v>
      </c>
      <c r="DY118" s="1008">
        <f t="shared" si="136"/>
        <v>0</v>
      </c>
      <c r="DZ118" s="1008">
        <f t="shared" si="124"/>
        <v>0</v>
      </c>
      <c r="EA118" s="1008">
        <f t="shared" si="124"/>
        <v>0</v>
      </c>
      <c r="EB118" s="1008">
        <f t="shared" si="124"/>
        <v>0</v>
      </c>
      <c r="EC118" s="1008"/>
      <c r="ED118" s="1008">
        <f t="shared" si="137"/>
        <v>11065000</v>
      </c>
    </row>
    <row r="119" spans="1:134" s="203" customFormat="1" ht="27.75" hidden="1" customHeight="1" x14ac:dyDescent="0.25">
      <c r="A119" s="1559"/>
      <c r="B119" s="1019"/>
      <c r="C119" s="1081"/>
      <c r="D119" s="1019" t="s">
        <v>4945</v>
      </c>
      <c r="E119" s="1020"/>
      <c r="F119" s="1097"/>
      <c r="G119" s="1097"/>
      <c r="H119" s="1061"/>
      <c r="I119" s="1061"/>
      <c r="J119" s="1097" t="s">
        <v>4948</v>
      </c>
      <c r="K119" s="1093" t="s">
        <v>4952</v>
      </c>
      <c r="L119" s="1093" t="s">
        <v>4956</v>
      </c>
      <c r="M119" s="1573"/>
      <c r="N119" s="1093">
        <v>31</v>
      </c>
      <c r="O119" s="1093">
        <v>4</v>
      </c>
      <c r="P119" s="1573"/>
      <c r="Q119" s="1093">
        <v>31</v>
      </c>
      <c r="R119" s="1093">
        <v>0</v>
      </c>
      <c r="S119" s="1097"/>
      <c r="T119" s="1097"/>
      <c r="U119" s="1097"/>
      <c r="V119" s="1097"/>
      <c r="W119" s="1097"/>
      <c r="X119" s="1097"/>
      <c r="Y119" s="1067"/>
      <c r="Z119" s="1067"/>
      <c r="AA119" s="1067"/>
      <c r="AB119" s="1067"/>
      <c r="AC119" s="1067"/>
      <c r="AD119" s="1067"/>
      <c r="AE119" s="1067"/>
      <c r="AF119" s="1067"/>
      <c r="AG119" s="1067"/>
      <c r="AH119" s="1067"/>
      <c r="AI119" s="1067"/>
      <c r="AJ119" s="1067"/>
      <c r="AK119" s="1067"/>
      <c r="AL119" s="1067"/>
      <c r="AM119" s="1067"/>
      <c r="AN119" s="1067"/>
      <c r="AO119" s="1067"/>
      <c r="AP119" s="1067"/>
      <c r="AQ119" s="1067"/>
      <c r="AR119" s="1067"/>
      <c r="AS119" s="1067"/>
      <c r="AU119" s="1082"/>
      <c r="AV119" s="1067"/>
      <c r="AW119" s="1067"/>
      <c r="AX119" s="1067"/>
      <c r="AY119" s="1067"/>
      <c r="AZ119" s="1067"/>
      <c r="BA119" s="1067"/>
      <c r="BB119" s="1067"/>
      <c r="BC119" s="1067"/>
      <c r="BD119" s="1067"/>
      <c r="BE119" s="1067"/>
      <c r="BF119" s="1067"/>
      <c r="BG119" s="1067"/>
      <c r="BH119" s="1067"/>
      <c r="BI119" s="1067"/>
      <c r="BJ119" s="1067"/>
      <c r="BK119" s="1067"/>
      <c r="BL119" s="1067"/>
      <c r="BM119" s="1067"/>
      <c r="BN119" s="1067"/>
      <c r="BO119" s="1067"/>
      <c r="BP119" s="1067"/>
      <c r="BQ119" s="1082"/>
      <c r="BR119" s="1067"/>
      <c r="BS119" s="1067"/>
      <c r="BT119" s="1067"/>
      <c r="BU119" s="1067"/>
      <c r="BV119" s="1067"/>
      <c r="BW119" s="1067"/>
      <c r="BX119" s="1067"/>
      <c r="BY119" s="1067"/>
      <c r="BZ119" s="1067"/>
      <c r="CA119" s="1067"/>
      <c r="CB119" s="1067"/>
      <c r="CC119" s="1067"/>
      <c r="CD119" s="1067"/>
      <c r="CE119" s="1067"/>
      <c r="CF119" s="1067"/>
      <c r="CG119" s="1067"/>
      <c r="CH119" s="1067"/>
      <c r="CI119" s="1067"/>
      <c r="CJ119" s="1067"/>
      <c r="CK119" s="1067"/>
      <c r="CL119" s="1067"/>
      <c r="CM119" s="1082"/>
      <c r="CN119" s="1067"/>
      <c r="CO119" s="1067"/>
      <c r="CP119" s="1067"/>
      <c r="CQ119" s="1067"/>
      <c r="CR119" s="1067"/>
      <c r="CS119" s="1067"/>
      <c r="CT119" s="1067"/>
      <c r="CU119" s="1067"/>
      <c r="CV119" s="1067"/>
      <c r="CW119" s="1067"/>
      <c r="CX119" s="1067"/>
      <c r="CY119" s="1067"/>
      <c r="CZ119" s="1067"/>
      <c r="DA119" s="1067"/>
      <c r="DB119" s="1067"/>
      <c r="DC119" s="1067"/>
      <c r="DD119" s="1067"/>
      <c r="DE119" s="1067"/>
      <c r="DF119" s="1067"/>
      <c r="DG119" s="1067"/>
      <c r="DH119" s="1067"/>
      <c r="DI119" s="1082"/>
      <c r="DJ119" s="1067"/>
      <c r="DK119" s="1067"/>
      <c r="DL119" s="1067"/>
      <c r="DM119" s="1067"/>
      <c r="DN119" s="1067"/>
      <c r="DO119" s="1067"/>
      <c r="DP119" s="1067"/>
      <c r="DQ119" s="1067"/>
      <c r="DR119" s="1067"/>
      <c r="DS119" s="1067"/>
      <c r="DT119" s="1067"/>
      <c r="DU119" s="1067"/>
      <c r="DV119" s="1067"/>
      <c r="DW119" s="1067"/>
      <c r="DX119" s="1067"/>
      <c r="DY119" s="1067"/>
      <c r="DZ119" s="1067"/>
      <c r="EA119" s="1067"/>
      <c r="EB119" s="1067"/>
      <c r="EC119" s="1067"/>
      <c r="ED119" s="1067"/>
    </row>
    <row r="120" spans="1:134" s="203" customFormat="1" ht="21.75" hidden="1" customHeight="1" x14ac:dyDescent="0.25">
      <c r="A120" s="1559"/>
      <c r="B120" s="1019"/>
      <c r="C120" s="1081"/>
      <c r="D120" s="1019" t="s">
        <v>4946</v>
      </c>
      <c r="E120" s="1020"/>
      <c r="F120" s="1097"/>
      <c r="G120" s="1097"/>
      <c r="H120" s="1061"/>
      <c r="I120" s="1061"/>
      <c r="J120" s="1097" t="s">
        <v>4949</v>
      </c>
      <c r="K120" s="1093" t="s">
        <v>4953</v>
      </c>
      <c r="L120" s="1093" t="s">
        <v>4957</v>
      </c>
      <c r="M120" s="1573"/>
      <c r="N120" s="1093">
        <v>32</v>
      </c>
      <c r="O120" s="1093">
        <v>4</v>
      </c>
      <c r="P120" s="1573"/>
      <c r="Q120" s="1093">
        <v>66</v>
      </c>
      <c r="R120" s="1093">
        <v>0</v>
      </c>
      <c r="S120" s="1097"/>
      <c r="T120" s="1097"/>
      <c r="U120" s="1097"/>
      <c r="V120" s="1097"/>
      <c r="W120" s="1097"/>
      <c r="X120" s="1097"/>
      <c r="Y120" s="1067"/>
      <c r="Z120" s="1067"/>
      <c r="AA120" s="1067"/>
      <c r="AB120" s="1067"/>
      <c r="AC120" s="1067"/>
      <c r="AD120" s="1067"/>
      <c r="AE120" s="1067"/>
      <c r="AF120" s="1067"/>
      <c r="AG120" s="1067"/>
      <c r="AH120" s="1067"/>
      <c r="AI120" s="1067"/>
      <c r="AJ120" s="1067"/>
      <c r="AK120" s="1067"/>
      <c r="AL120" s="1067"/>
      <c r="AM120" s="1067"/>
      <c r="AN120" s="1067"/>
      <c r="AO120" s="1067"/>
      <c r="AP120" s="1067"/>
      <c r="AQ120" s="1067"/>
      <c r="AR120" s="1067"/>
      <c r="AS120" s="1067"/>
      <c r="AU120" s="1082"/>
      <c r="AV120" s="1067"/>
      <c r="AW120" s="1067"/>
      <c r="AX120" s="1067"/>
      <c r="AY120" s="1067"/>
      <c r="AZ120" s="1067"/>
      <c r="BA120" s="1067"/>
      <c r="BB120" s="1067"/>
      <c r="BC120" s="1067"/>
      <c r="BD120" s="1067"/>
      <c r="BE120" s="1067"/>
      <c r="BF120" s="1067"/>
      <c r="BG120" s="1067"/>
      <c r="BH120" s="1067"/>
      <c r="BI120" s="1067"/>
      <c r="BJ120" s="1067"/>
      <c r="BK120" s="1067"/>
      <c r="BL120" s="1067"/>
      <c r="BM120" s="1067"/>
      <c r="BN120" s="1067"/>
      <c r="BO120" s="1067"/>
      <c r="BP120" s="1067"/>
      <c r="BQ120" s="1082"/>
      <c r="BR120" s="1067"/>
      <c r="BS120" s="1067"/>
      <c r="BT120" s="1067"/>
      <c r="BU120" s="1067"/>
      <c r="BV120" s="1067"/>
      <c r="BW120" s="1067"/>
      <c r="BX120" s="1067"/>
      <c r="BY120" s="1067"/>
      <c r="BZ120" s="1067"/>
      <c r="CA120" s="1067"/>
      <c r="CB120" s="1067"/>
      <c r="CC120" s="1067"/>
      <c r="CD120" s="1067"/>
      <c r="CE120" s="1067"/>
      <c r="CF120" s="1067"/>
      <c r="CG120" s="1067"/>
      <c r="CH120" s="1067"/>
      <c r="CI120" s="1067"/>
      <c r="CJ120" s="1067"/>
      <c r="CK120" s="1067"/>
      <c r="CL120" s="1067"/>
      <c r="CM120" s="1082"/>
      <c r="CN120" s="1067"/>
      <c r="CO120" s="1067"/>
      <c r="CP120" s="1067"/>
      <c r="CQ120" s="1067"/>
      <c r="CR120" s="1067"/>
      <c r="CS120" s="1067"/>
      <c r="CT120" s="1067"/>
      <c r="CU120" s="1067"/>
      <c r="CV120" s="1067"/>
      <c r="CW120" s="1067"/>
      <c r="CX120" s="1067"/>
      <c r="CY120" s="1067"/>
      <c r="CZ120" s="1067"/>
      <c r="DA120" s="1067"/>
      <c r="DB120" s="1067"/>
      <c r="DC120" s="1067"/>
      <c r="DD120" s="1067"/>
      <c r="DE120" s="1067"/>
      <c r="DF120" s="1067"/>
      <c r="DG120" s="1067"/>
      <c r="DH120" s="1067"/>
      <c r="DI120" s="1082"/>
      <c r="DJ120" s="1067"/>
      <c r="DK120" s="1067"/>
      <c r="DL120" s="1067"/>
      <c r="DM120" s="1067"/>
      <c r="DN120" s="1067"/>
      <c r="DO120" s="1067"/>
      <c r="DP120" s="1067"/>
      <c r="DQ120" s="1067"/>
      <c r="DR120" s="1067"/>
      <c r="DS120" s="1067"/>
      <c r="DT120" s="1067"/>
      <c r="DU120" s="1067"/>
      <c r="DV120" s="1067"/>
      <c r="DW120" s="1067"/>
      <c r="DX120" s="1067"/>
      <c r="DY120" s="1067"/>
      <c r="DZ120" s="1067"/>
      <c r="EA120" s="1067"/>
      <c r="EB120" s="1067"/>
      <c r="EC120" s="1067"/>
      <c r="ED120" s="1067"/>
    </row>
    <row r="121" spans="1:134" s="203" customFormat="1" ht="27" hidden="1" customHeight="1" x14ac:dyDescent="0.25">
      <c r="A121" s="1559"/>
      <c r="B121" s="1019"/>
      <c r="C121" s="1081"/>
      <c r="D121" s="1019" t="s">
        <v>4947</v>
      </c>
      <c r="E121" s="1020"/>
      <c r="F121" s="1097"/>
      <c r="G121" s="1097"/>
      <c r="H121" s="1061"/>
      <c r="I121" s="1061"/>
      <c r="J121" s="1097" t="s">
        <v>4951</v>
      </c>
      <c r="K121" s="1093" t="s">
        <v>4955</v>
      </c>
      <c r="L121" s="1093" t="s">
        <v>4959</v>
      </c>
      <c r="M121" s="1284"/>
      <c r="N121" s="1093">
        <v>42</v>
      </c>
      <c r="O121" s="1093">
        <v>5</v>
      </c>
      <c r="P121" s="1284"/>
      <c r="Q121" s="1093">
        <v>87</v>
      </c>
      <c r="R121" s="1093">
        <v>0</v>
      </c>
      <c r="S121" s="1097"/>
      <c r="T121" s="1097"/>
      <c r="U121" s="1097"/>
      <c r="V121" s="1097"/>
      <c r="W121" s="1097"/>
      <c r="X121" s="1097"/>
      <c r="Y121" s="1067"/>
      <c r="Z121" s="1067"/>
      <c r="AA121" s="1067"/>
      <c r="AB121" s="1067"/>
      <c r="AC121" s="1067"/>
      <c r="AD121" s="1067"/>
      <c r="AE121" s="1067"/>
      <c r="AF121" s="1067"/>
      <c r="AG121" s="1067"/>
      <c r="AH121" s="1067"/>
      <c r="AI121" s="1067"/>
      <c r="AJ121" s="1067"/>
      <c r="AK121" s="1067"/>
      <c r="AL121" s="1067"/>
      <c r="AM121" s="1067"/>
      <c r="AN121" s="1067"/>
      <c r="AO121" s="1067"/>
      <c r="AP121" s="1067"/>
      <c r="AQ121" s="1067"/>
      <c r="AR121" s="1067"/>
      <c r="AS121" s="1067"/>
      <c r="AU121" s="1082"/>
      <c r="AV121" s="1067"/>
      <c r="AW121" s="1067"/>
      <c r="AX121" s="1067"/>
      <c r="AY121" s="1067"/>
      <c r="AZ121" s="1067"/>
      <c r="BA121" s="1067"/>
      <c r="BB121" s="1067"/>
      <c r="BC121" s="1067"/>
      <c r="BD121" s="1067"/>
      <c r="BE121" s="1067"/>
      <c r="BF121" s="1067"/>
      <c r="BG121" s="1067"/>
      <c r="BH121" s="1067"/>
      <c r="BI121" s="1067"/>
      <c r="BJ121" s="1067"/>
      <c r="BK121" s="1067"/>
      <c r="BL121" s="1067"/>
      <c r="BM121" s="1067"/>
      <c r="BN121" s="1067"/>
      <c r="BO121" s="1067"/>
      <c r="BP121" s="1067"/>
      <c r="BQ121" s="1082"/>
      <c r="BR121" s="1067"/>
      <c r="BS121" s="1067"/>
      <c r="BT121" s="1067"/>
      <c r="BU121" s="1067"/>
      <c r="BV121" s="1067"/>
      <c r="BW121" s="1067"/>
      <c r="BX121" s="1067"/>
      <c r="BY121" s="1067"/>
      <c r="BZ121" s="1067"/>
      <c r="CA121" s="1067"/>
      <c r="CB121" s="1067"/>
      <c r="CC121" s="1067"/>
      <c r="CD121" s="1067"/>
      <c r="CE121" s="1067"/>
      <c r="CF121" s="1067"/>
      <c r="CG121" s="1067"/>
      <c r="CH121" s="1067"/>
      <c r="CI121" s="1067"/>
      <c r="CJ121" s="1067"/>
      <c r="CK121" s="1067"/>
      <c r="CL121" s="1067"/>
      <c r="CM121" s="1082"/>
      <c r="CN121" s="1067"/>
      <c r="CO121" s="1067"/>
      <c r="CP121" s="1067"/>
      <c r="CQ121" s="1067"/>
      <c r="CR121" s="1067"/>
      <c r="CS121" s="1067"/>
      <c r="CT121" s="1067"/>
      <c r="CU121" s="1067"/>
      <c r="CV121" s="1067"/>
      <c r="CW121" s="1067"/>
      <c r="CX121" s="1067"/>
      <c r="CY121" s="1067"/>
      <c r="CZ121" s="1067"/>
      <c r="DA121" s="1067"/>
      <c r="DB121" s="1067"/>
      <c r="DC121" s="1067"/>
      <c r="DD121" s="1067"/>
      <c r="DE121" s="1067"/>
      <c r="DF121" s="1067"/>
      <c r="DG121" s="1067"/>
      <c r="DH121" s="1067"/>
      <c r="DI121" s="1082"/>
      <c r="DJ121" s="1067"/>
      <c r="DK121" s="1067"/>
      <c r="DL121" s="1067"/>
      <c r="DM121" s="1067"/>
      <c r="DN121" s="1067"/>
      <c r="DO121" s="1067"/>
      <c r="DP121" s="1067"/>
      <c r="DQ121" s="1067"/>
      <c r="DR121" s="1067"/>
      <c r="DS121" s="1067"/>
      <c r="DT121" s="1067"/>
      <c r="DU121" s="1067"/>
      <c r="DV121" s="1067"/>
      <c r="DW121" s="1067"/>
      <c r="DX121" s="1067"/>
      <c r="DY121" s="1067"/>
      <c r="DZ121" s="1067"/>
      <c r="EA121" s="1067"/>
      <c r="EB121" s="1067"/>
      <c r="EC121" s="1067"/>
      <c r="ED121" s="1067"/>
    </row>
    <row r="122" spans="1:134" ht="36.75" customHeight="1" x14ac:dyDescent="0.25">
      <c r="A122" s="1559"/>
      <c r="B122" s="1019" t="s">
        <v>4444</v>
      </c>
      <c r="C122" s="1094" t="s">
        <v>4636</v>
      </c>
      <c r="D122" s="1019" t="s">
        <v>4960</v>
      </c>
      <c r="E122" s="1020">
        <v>301</v>
      </c>
      <c r="F122" s="1097" t="s">
        <v>4741</v>
      </c>
      <c r="G122" s="1097">
        <v>67000000</v>
      </c>
      <c r="H122" s="1061">
        <f t="shared" si="100"/>
        <v>3045000</v>
      </c>
      <c r="I122" s="1061">
        <f>Y122-H122</f>
        <v>19955000</v>
      </c>
      <c r="J122" s="1097" t="s">
        <v>4962</v>
      </c>
      <c r="K122" s="1093" t="s">
        <v>4963</v>
      </c>
      <c r="L122" s="1093" t="s">
        <v>4965</v>
      </c>
      <c r="M122" s="1283">
        <v>0</v>
      </c>
      <c r="N122" s="1093">
        <v>0</v>
      </c>
      <c r="O122" s="1093">
        <v>0</v>
      </c>
      <c r="P122" s="1283">
        <v>15</v>
      </c>
      <c r="Q122" s="1093">
        <v>0</v>
      </c>
      <c r="R122" s="1093">
        <v>0</v>
      </c>
      <c r="S122" s="1097"/>
      <c r="T122" s="1097"/>
      <c r="U122" s="1097"/>
      <c r="V122" s="1097"/>
      <c r="W122" s="1097"/>
      <c r="X122" s="1097"/>
      <c r="Y122" s="1008">
        <f t="shared" si="102"/>
        <v>23000000</v>
      </c>
      <c r="Z122" s="1008"/>
      <c r="AA122" s="1008"/>
      <c r="AB122" s="1008"/>
      <c r="AC122" s="1008"/>
      <c r="AD122" s="1008"/>
      <c r="AE122" s="1008"/>
      <c r="AF122" s="1008"/>
      <c r="AG122" s="1008"/>
      <c r="AH122" s="1008"/>
      <c r="AI122" s="1008"/>
      <c r="AJ122" s="1008"/>
      <c r="AK122" s="1008"/>
      <c r="AL122" s="1008"/>
      <c r="AM122" s="1008">
        <f>67000000-52000000</f>
        <v>15000000</v>
      </c>
      <c r="AN122" s="1008"/>
      <c r="AO122" s="1008"/>
      <c r="AP122" s="1008"/>
      <c r="AQ122" s="1008"/>
      <c r="AR122" s="1008"/>
      <c r="AS122" s="1008">
        <f>5000000+3000000</f>
        <v>8000000</v>
      </c>
      <c r="AU122" s="1011">
        <f t="shared" si="103"/>
        <v>1</v>
      </c>
      <c r="AV122" s="1008">
        <f t="shared" si="104"/>
        <v>23000000</v>
      </c>
      <c r="AW122" s="1008"/>
      <c r="AX122" s="1008"/>
      <c r="AY122" s="1008"/>
      <c r="AZ122" s="1008"/>
      <c r="BA122" s="1008"/>
      <c r="BB122" s="1008"/>
      <c r="BC122" s="1008"/>
      <c r="BD122" s="1008"/>
      <c r="BE122" s="1008"/>
      <c r="BF122" s="1008"/>
      <c r="BG122" s="1008"/>
      <c r="BH122" s="1008"/>
      <c r="BI122" s="1008"/>
      <c r="BJ122" s="1008">
        <f>+'[10]MARZO 2015'!$V$535</f>
        <v>15000000</v>
      </c>
      <c r="BK122" s="1008"/>
      <c r="BL122" s="1008"/>
      <c r="BM122" s="1008"/>
      <c r="BN122" s="1008"/>
      <c r="BO122" s="1008"/>
      <c r="BP122" s="1008">
        <f>+'[17]SEPTIEMBRE 2015'!$AD$1193</f>
        <v>8000000</v>
      </c>
      <c r="BQ122" s="1011">
        <f t="shared" si="105"/>
        <v>0</v>
      </c>
      <c r="BR122" s="1008">
        <f t="shared" si="106"/>
        <v>0</v>
      </c>
      <c r="BS122" s="1008">
        <f t="shared" si="125"/>
        <v>0</v>
      </c>
      <c r="BT122" s="1008">
        <f t="shared" si="126"/>
        <v>0</v>
      </c>
      <c r="BU122" s="1008"/>
      <c r="BV122" s="1008">
        <f t="shared" si="127"/>
        <v>0</v>
      </c>
      <c r="BW122" s="1008"/>
      <c r="BX122" s="1008">
        <f t="shared" si="128"/>
        <v>0</v>
      </c>
      <c r="BY122" s="1008">
        <f t="shared" si="128"/>
        <v>0</v>
      </c>
      <c r="BZ122" s="1008"/>
      <c r="CA122" s="1008"/>
      <c r="CB122" s="1008"/>
      <c r="CC122" s="1008"/>
      <c r="CD122" s="1008">
        <f t="shared" si="129"/>
        <v>0</v>
      </c>
      <c r="CE122" s="1008">
        <f t="shared" si="129"/>
        <v>0</v>
      </c>
      <c r="CF122" s="1008">
        <f t="shared" si="129"/>
        <v>0</v>
      </c>
      <c r="CG122" s="1008">
        <f t="shared" si="129"/>
        <v>0</v>
      </c>
      <c r="CH122" s="1008">
        <f t="shared" si="111"/>
        <v>0</v>
      </c>
      <c r="CI122" s="1008">
        <f t="shared" si="111"/>
        <v>0</v>
      </c>
      <c r="CJ122" s="1008"/>
      <c r="CK122" s="1008"/>
      <c r="CL122" s="1008">
        <f t="shared" si="130"/>
        <v>0</v>
      </c>
      <c r="CM122" s="1011">
        <f t="shared" si="113"/>
        <v>0.13239130434782609</v>
      </c>
      <c r="CN122" s="1008">
        <f t="shared" si="114"/>
        <v>3045000</v>
      </c>
      <c r="CO122" s="1008"/>
      <c r="CP122" s="1008"/>
      <c r="CQ122" s="1008"/>
      <c r="CR122" s="1008"/>
      <c r="CS122" s="1008"/>
      <c r="CT122" s="1008"/>
      <c r="CU122" s="1008"/>
      <c r="CV122" s="1008"/>
      <c r="CW122" s="1008"/>
      <c r="CX122" s="1008"/>
      <c r="CY122" s="1008"/>
      <c r="CZ122" s="1008"/>
      <c r="DA122" s="1008"/>
      <c r="DB122" s="1008"/>
      <c r="DC122" s="1008"/>
      <c r="DD122" s="1008"/>
      <c r="DE122" s="1008"/>
      <c r="DF122" s="1008"/>
      <c r="DG122" s="1008"/>
      <c r="DH122" s="1008">
        <f>+'[14]JUNIO 2015'!$H$782</f>
        <v>3045000</v>
      </c>
      <c r="DI122" s="1011">
        <f t="shared" si="115"/>
        <v>0.86760869565217391</v>
      </c>
      <c r="DJ122" s="1008">
        <f t="shared" si="116"/>
        <v>19955000</v>
      </c>
      <c r="DK122" s="1008">
        <f t="shared" si="131"/>
        <v>0</v>
      </c>
      <c r="DL122" s="1008"/>
      <c r="DM122" s="1008"/>
      <c r="DN122" s="1008">
        <f t="shared" si="132"/>
        <v>0</v>
      </c>
      <c r="DO122" s="1008"/>
      <c r="DP122" s="1008">
        <f t="shared" si="133"/>
        <v>0</v>
      </c>
      <c r="DQ122" s="1008">
        <f t="shared" si="133"/>
        <v>0</v>
      </c>
      <c r="DR122" s="1008"/>
      <c r="DS122" s="1008">
        <f t="shared" si="134"/>
        <v>0</v>
      </c>
      <c r="DT122" s="1008">
        <f t="shared" si="134"/>
        <v>0</v>
      </c>
      <c r="DU122" s="1008"/>
      <c r="DV122" s="1008">
        <f t="shared" si="135"/>
        <v>0</v>
      </c>
      <c r="DW122" s="1008">
        <f t="shared" si="135"/>
        <v>0</v>
      </c>
      <c r="DX122" s="1008">
        <f t="shared" si="135"/>
        <v>15000000</v>
      </c>
      <c r="DY122" s="1008">
        <f t="shared" si="136"/>
        <v>0</v>
      </c>
      <c r="DZ122" s="1008">
        <f t="shared" si="124"/>
        <v>0</v>
      </c>
      <c r="EA122" s="1008">
        <f t="shared" si="124"/>
        <v>0</v>
      </c>
      <c r="EB122" s="1008">
        <f t="shared" si="124"/>
        <v>0</v>
      </c>
      <c r="EC122" s="1008"/>
      <c r="ED122" s="1008">
        <f t="shared" si="137"/>
        <v>4955000</v>
      </c>
    </row>
    <row r="123" spans="1:134" s="203" customFormat="1" ht="29.25" hidden="1" customHeight="1" x14ac:dyDescent="0.25">
      <c r="A123" s="1559"/>
      <c r="B123" s="1019"/>
      <c r="C123" s="1081"/>
      <c r="D123" s="1019" t="s">
        <v>4961</v>
      </c>
      <c r="E123" s="1020"/>
      <c r="F123" s="1097"/>
      <c r="G123" s="1101"/>
      <c r="H123" s="1061"/>
      <c r="I123" s="1061"/>
      <c r="J123" s="1097" t="s">
        <v>4778</v>
      </c>
      <c r="K123" s="1093" t="s">
        <v>4964</v>
      </c>
      <c r="L123" s="1093" t="s">
        <v>4778</v>
      </c>
      <c r="M123" s="1284"/>
      <c r="N123" s="1093">
        <v>0</v>
      </c>
      <c r="O123" s="1093">
        <v>0</v>
      </c>
      <c r="P123" s="1284"/>
      <c r="Q123" s="1093">
        <v>110</v>
      </c>
      <c r="R123" s="1093">
        <v>0</v>
      </c>
      <c r="S123" s="1097"/>
      <c r="T123" s="1097"/>
      <c r="U123" s="1097"/>
      <c r="V123" s="1097"/>
      <c r="W123" s="1097"/>
      <c r="X123" s="1097"/>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U123" s="1082"/>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82"/>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82"/>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82"/>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row>
    <row r="124" spans="1:134" ht="36" customHeight="1" x14ac:dyDescent="0.25">
      <c r="A124" s="1559"/>
      <c r="B124" s="1019" t="s">
        <v>4445</v>
      </c>
      <c r="C124" s="1094" t="s">
        <v>4466</v>
      </c>
      <c r="D124" s="1019" t="s">
        <v>4637</v>
      </c>
      <c r="E124" s="1020">
        <v>301</v>
      </c>
      <c r="F124" s="1097" t="s">
        <v>4661</v>
      </c>
      <c r="G124" s="1399">
        <v>900000000</v>
      </c>
      <c r="H124" s="1061">
        <f t="shared" si="100"/>
        <v>1110451728</v>
      </c>
      <c r="I124" s="1061">
        <f>Y124-H124</f>
        <v>27985072</v>
      </c>
      <c r="J124" s="1097" t="s">
        <v>4967</v>
      </c>
      <c r="K124" s="1093" t="s">
        <v>4969</v>
      </c>
      <c r="L124" s="1093" t="s">
        <v>4971</v>
      </c>
      <c r="M124" s="1283">
        <v>33</v>
      </c>
      <c r="N124" s="1093">
        <v>8</v>
      </c>
      <c r="O124" s="1283">
        <v>3</v>
      </c>
      <c r="P124" s="1283">
        <v>99</v>
      </c>
      <c r="Q124" s="1093">
        <v>22</v>
      </c>
      <c r="R124" s="1093">
        <v>22</v>
      </c>
      <c r="S124" s="1097"/>
      <c r="T124" s="1097"/>
      <c r="U124" s="1097"/>
      <c r="V124" s="1097"/>
      <c r="W124" s="1097"/>
      <c r="X124" s="1097"/>
      <c r="Y124" s="1008">
        <f t="shared" si="102"/>
        <v>1138436800</v>
      </c>
      <c r="Z124" s="1008">
        <v>24079469</v>
      </c>
      <c r="AA124" s="1008"/>
      <c r="AB124" s="1008"/>
      <c r="AC124" s="1008"/>
      <c r="AD124" s="1008"/>
      <c r="AE124" s="1008"/>
      <c r="AF124" s="1008"/>
      <c r="AG124" s="1008"/>
      <c r="AH124" s="1008"/>
      <c r="AI124" s="1008"/>
      <c r="AJ124" s="1008"/>
      <c r="AK124" s="1008"/>
      <c r="AL124" s="1008"/>
      <c r="AM124" s="1008">
        <v>52000000</v>
      </c>
      <c r="AN124" s="1008">
        <v>109019196</v>
      </c>
      <c r="AO124" s="1008">
        <f>47588221+35749914</f>
        <v>83338135</v>
      </c>
      <c r="AP124" s="1008">
        <v>870000000</v>
      </c>
      <c r="AQ124" s="1008"/>
      <c r="AR124" s="1008"/>
      <c r="AS124" s="1008"/>
      <c r="AU124" s="1011">
        <f t="shared" si="103"/>
        <v>0.97942611131333768</v>
      </c>
      <c r="AV124" s="1008">
        <f t="shared" si="104"/>
        <v>1115014728</v>
      </c>
      <c r="AW124" s="1008">
        <f>+'[17]SEPTIEMBRE 2015'!$J$1202</f>
        <v>23245422</v>
      </c>
      <c r="AX124" s="1008"/>
      <c r="AY124" s="1008"/>
      <c r="AZ124" s="1008"/>
      <c r="BA124" s="1008"/>
      <c r="BB124" s="1008"/>
      <c r="BC124" s="1008"/>
      <c r="BD124" s="1008"/>
      <c r="BE124" s="1008"/>
      <c r="BF124" s="1008"/>
      <c r="BG124" s="1008"/>
      <c r="BH124" s="1008"/>
      <c r="BI124" s="1008"/>
      <c r="BJ124" s="1008">
        <f>+'[14]JUNIO 2015'!$W$788</f>
        <v>52000000</v>
      </c>
      <c r="BK124" s="1008">
        <f>+'[14]JUNIO 2015'!$X$788</f>
        <v>109019196</v>
      </c>
      <c r="BL124" s="1008">
        <f>+'[18]OCTUBRE 2015'!$Y$1372</f>
        <v>60750110</v>
      </c>
      <c r="BM124" s="1008">
        <f>+'[14]JUNIO 2015'!$Z$788</f>
        <v>870000000</v>
      </c>
      <c r="BN124" s="1008"/>
      <c r="BO124" s="1008"/>
      <c r="BP124" s="1008"/>
      <c r="BQ124" s="1011">
        <f t="shared" si="105"/>
        <v>2.0573888686662323E-2</v>
      </c>
      <c r="BR124" s="1008">
        <f t="shared" si="106"/>
        <v>23422072</v>
      </c>
      <c r="BS124" s="1008">
        <f t="shared" si="125"/>
        <v>834047</v>
      </c>
      <c r="BT124" s="1008">
        <f t="shared" si="126"/>
        <v>0</v>
      </c>
      <c r="BU124" s="1008"/>
      <c r="BV124" s="1008">
        <f t="shared" si="127"/>
        <v>0</v>
      </c>
      <c r="BW124" s="1008"/>
      <c r="BX124" s="1008">
        <f t="shared" si="128"/>
        <v>0</v>
      </c>
      <c r="BY124" s="1008">
        <f t="shared" si="128"/>
        <v>0</v>
      </c>
      <c r="BZ124" s="1008"/>
      <c r="CA124" s="1008"/>
      <c r="CB124" s="1008"/>
      <c r="CC124" s="1008"/>
      <c r="CD124" s="1008">
        <f t="shared" si="129"/>
        <v>0</v>
      </c>
      <c r="CE124" s="1008">
        <f t="shared" si="129"/>
        <v>0</v>
      </c>
      <c r="CF124" s="1008">
        <f t="shared" si="129"/>
        <v>0</v>
      </c>
      <c r="CG124" s="1008">
        <f t="shared" si="129"/>
        <v>0</v>
      </c>
      <c r="CH124" s="1008">
        <f t="shared" si="111"/>
        <v>22588025</v>
      </c>
      <c r="CI124" s="1008">
        <f t="shared" si="111"/>
        <v>0</v>
      </c>
      <c r="CJ124" s="1008"/>
      <c r="CK124" s="1008"/>
      <c r="CL124" s="1008">
        <f t="shared" si="130"/>
        <v>0</v>
      </c>
      <c r="CM124" s="1011">
        <f t="shared" si="113"/>
        <v>0.97541798367726695</v>
      </c>
      <c r="CN124" s="1008">
        <f t="shared" si="114"/>
        <v>1110451728</v>
      </c>
      <c r="CO124" s="1008">
        <f>+'[18]OCTUBRE 2015'!$H$1378+'[18]OCTUBRE 2015'!$H$1392+'[18]OCTUBRE 2015'!$H$1394</f>
        <v>23245422</v>
      </c>
      <c r="CP124" s="1008"/>
      <c r="CQ124" s="1008"/>
      <c r="CR124" s="1008"/>
      <c r="CS124" s="1008"/>
      <c r="CT124" s="1008"/>
      <c r="CU124" s="1008"/>
      <c r="CV124" s="1008"/>
      <c r="CW124" s="1008"/>
      <c r="CX124" s="1008"/>
      <c r="CY124" s="1008"/>
      <c r="CZ124" s="1008"/>
      <c r="DA124" s="1008"/>
      <c r="DB124" s="1008">
        <f>+'[18]OCTUBRE 2015'!$H$1387+'[18]OCTUBRE 2015'!$H$1390</f>
        <v>52000000</v>
      </c>
      <c r="DC124" s="1008">
        <f>+'[18]OCTUBRE 2015'!$H$1380</f>
        <v>108815808</v>
      </c>
      <c r="DD124" s="1008">
        <f>+'[18]OCTUBRE 2015'!$H$1385+'[18]OCTUBRE 2015'!$H$1389+'[18]OCTUBRE 2015'!$H$1396+'[18]OCTUBRE 2015'!$H$1398+'[18]OCTUBRE 2015'!$H$1400</f>
        <v>56390498</v>
      </c>
      <c r="DE124" s="1008">
        <f>+'[11]ABRIL 2015'!$H$632</f>
        <v>870000000</v>
      </c>
      <c r="DF124" s="1008"/>
      <c r="DG124" s="1008"/>
      <c r="DH124" s="1008"/>
      <c r="DI124" s="1011">
        <f t="shared" si="115"/>
        <v>2.4582016322733047E-2</v>
      </c>
      <c r="DJ124" s="1008">
        <f t="shared" si="116"/>
        <v>27985072</v>
      </c>
      <c r="DK124" s="1008">
        <f t="shared" si="131"/>
        <v>834047</v>
      </c>
      <c r="DL124" s="1008"/>
      <c r="DM124" s="1008"/>
      <c r="DN124" s="1008">
        <f t="shared" si="132"/>
        <v>0</v>
      </c>
      <c r="DO124" s="1008"/>
      <c r="DP124" s="1008">
        <f t="shared" si="133"/>
        <v>0</v>
      </c>
      <c r="DQ124" s="1008">
        <f t="shared" si="133"/>
        <v>0</v>
      </c>
      <c r="DR124" s="1008"/>
      <c r="DS124" s="1008">
        <f t="shared" si="134"/>
        <v>0</v>
      </c>
      <c r="DT124" s="1008">
        <f t="shared" si="134"/>
        <v>0</v>
      </c>
      <c r="DU124" s="1008"/>
      <c r="DV124" s="1008">
        <f t="shared" si="135"/>
        <v>0</v>
      </c>
      <c r="DW124" s="1008">
        <f t="shared" si="135"/>
        <v>0</v>
      </c>
      <c r="DX124" s="1008">
        <f t="shared" si="135"/>
        <v>0</v>
      </c>
      <c r="DY124" s="1008">
        <f t="shared" si="136"/>
        <v>203388</v>
      </c>
      <c r="DZ124" s="1008">
        <f t="shared" si="124"/>
        <v>26947637</v>
      </c>
      <c r="EA124" s="1008">
        <f t="shared" si="124"/>
        <v>0</v>
      </c>
      <c r="EB124" s="1008">
        <f t="shared" si="124"/>
        <v>0</v>
      </c>
      <c r="EC124" s="1008"/>
      <c r="ED124" s="1008">
        <f t="shared" si="137"/>
        <v>0</v>
      </c>
    </row>
    <row r="125" spans="1:134" s="203" customFormat="1" ht="31.5" hidden="1" customHeight="1" x14ac:dyDescent="0.25">
      <c r="A125" s="1559"/>
      <c r="B125" s="1019"/>
      <c r="C125" s="1081"/>
      <c r="D125" s="1019" t="s">
        <v>4966</v>
      </c>
      <c r="E125" s="1020"/>
      <c r="F125" s="1097"/>
      <c r="G125" s="1400"/>
      <c r="H125" s="1061"/>
      <c r="I125" s="1061"/>
      <c r="J125" s="1097" t="s">
        <v>4968</v>
      </c>
      <c r="K125" s="1093" t="s">
        <v>4970</v>
      </c>
      <c r="L125" s="1093" t="s">
        <v>4972</v>
      </c>
      <c r="M125" s="1573"/>
      <c r="N125" s="1093">
        <v>9</v>
      </c>
      <c r="O125" s="1573"/>
      <c r="P125" s="1573"/>
      <c r="Q125" s="1093">
        <v>26</v>
      </c>
      <c r="R125" s="1093">
        <v>0</v>
      </c>
      <c r="S125" s="1097"/>
      <c r="T125" s="1097"/>
      <c r="U125" s="1097"/>
      <c r="V125" s="1097"/>
      <c r="W125" s="1097"/>
      <c r="X125" s="1097"/>
      <c r="Y125" s="1067"/>
      <c r="Z125" s="1067"/>
      <c r="AA125" s="1067"/>
      <c r="AB125" s="1067"/>
      <c r="AC125" s="1067"/>
      <c r="AD125" s="1067"/>
      <c r="AE125" s="1067"/>
      <c r="AF125" s="1067"/>
      <c r="AG125" s="1067"/>
      <c r="AH125" s="1067"/>
      <c r="AI125" s="1067"/>
      <c r="AJ125" s="1067"/>
      <c r="AK125" s="1067"/>
      <c r="AL125" s="1067"/>
      <c r="AM125" s="1067"/>
      <c r="AN125" s="1067"/>
      <c r="AO125" s="1067"/>
      <c r="AP125" s="1067"/>
      <c r="AQ125" s="1067"/>
      <c r="AR125" s="1067"/>
      <c r="AS125" s="1067"/>
      <c r="AU125" s="1082"/>
      <c r="AV125" s="1067"/>
      <c r="AW125" s="1067"/>
      <c r="AX125" s="1067"/>
      <c r="AY125" s="1067"/>
      <c r="AZ125" s="1067"/>
      <c r="BA125" s="1067"/>
      <c r="BB125" s="1067"/>
      <c r="BC125" s="1067"/>
      <c r="BD125" s="1067"/>
      <c r="BE125" s="1067"/>
      <c r="BF125" s="1067"/>
      <c r="BG125" s="1067"/>
      <c r="BH125" s="1067"/>
      <c r="BI125" s="1067"/>
      <c r="BJ125" s="1067"/>
      <c r="BK125" s="1067"/>
      <c r="BL125" s="1067"/>
      <c r="BM125" s="1067"/>
      <c r="BN125" s="1067"/>
      <c r="BO125" s="1067"/>
      <c r="BP125" s="1067"/>
      <c r="BQ125" s="1082"/>
      <c r="BR125" s="1067"/>
      <c r="BS125" s="1067"/>
      <c r="BT125" s="1067"/>
      <c r="BU125" s="1067"/>
      <c r="BV125" s="1067"/>
      <c r="BW125" s="1067"/>
      <c r="BX125" s="1067"/>
      <c r="BY125" s="1067"/>
      <c r="BZ125" s="1067"/>
      <c r="CA125" s="1067"/>
      <c r="CB125" s="1067"/>
      <c r="CC125" s="1067"/>
      <c r="CD125" s="1067"/>
      <c r="CE125" s="1067"/>
      <c r="CF125" s="1067"/>
      <c r="CG125" s="1067"/>
      <c r="CH125" s="1067"/>
      <c r="CI125" s="1067"/>
      <c r="CJ125" s="1067"/>
      <c r="CK125" s="1067"/>
      <c r="CL125" s="1067"/>
      <c r="CM125" s="1082"/>
      <c r="CN125" s="1067"/>
      <c r="CO125" s="1067"/>
      <c r="CP125" s="1067"/>
      <c r="CQ125" s="1067"/>
      <c r="CR125" s="1067"/>
      <c r="CS125" s="1067"/>
      <c r="CT125" s="1067"/>
      <c r="CU125" s="1067"/>
      <c r="CV125" s="1067"/>
      <c r="CW125" s="1067"/>
      <c r="CX125" s="1067"/>
      <c r="CY125" s="1067"/>
      <c r="CZ125" s="1067"/>
      <c r="DA125" s="1067"/>
      <c r="DB125" s="1067"/>
      <c r="DC125" s="1067"/>
      <c r="DD125" s="1067"/>
      <c r="DE125" s="1067"/>
      <c r="DF125" s="1067"/>
      <c r="DG125" s="1067"/>
      <c r="DH125" s="1067"/>
      <c r="DI125" s="1082"/>
      <c r="DJ125" s="1067"/>
      <c r="DK125" s="1067"/>
      <c r="DL125" s="1067"/>
      <c r="DM125" s="1067"/>
      <c r="DN125" s="1067"/>
      <c r="DO125" s="1067"/>
      <c r="DP125" s="1067"/>
      <c r="DQ125" s="1067"/>
      <c r="DR125" s="1067"/>
      <c r="DS125" s="1067"/>
      <c r="DT125" s="1067"/>
      <c r="DU125" s="1067"/>
      <c r="DV125" s="1067"/>
      <c r="DW125" s="1067"/>
      <c r="DX125" s="1067"/>
      <c r="DY125" s="1067"/>
      <c r="DZ125" s="1067"/>
      <c r="EA125" s="1067"/>
      <c r="EB125" s="1067"/>
      <c r="EC125" s="1067"/>
      <c r="ED125" s="1067"/>
    </row>
    <row r="126" spans="1:134" ht="33" customHeight="1" x14ac:dyDescent="0.25">
      <c r="A126" s="1559"/>
      <c r="B126" s="1019"/>
      <c r="C126" s="1094" t="s">
        <v>4467</v>
      </c>
      <c r="D126" s="1019" t="s">
        <v>4638</v>
      </c>
      <c r="E126" s="1020">
        <v>301</v>
      </c>
      <c r="F126" s="1097" t="s">
        <v>4661</v>
      </c>
      <c r="G126" s="1400"/>
      <c r="H126" s="1061">
        <f t="shared" si="100"/>
        <v>10878966</v>
      </c>
      <c r="I126" s="1061">
        <f>Y126-H126</f>
        <v>4121034</v>
      </c>
      <c r="J126" s="1097" t="s">
        <v>4973</v>
      </c>
      <c r="K126" s="1093" t="s">
        <v>4974</v>
      </c>
      <c r="L126" s="1093" t="s">
        <v>4975</v>
      </c>
      <c r="M126" s="1093">
        <v>3</v>
      </c>
      <c r="N126" s="1093">
        <v>90</v>
      </c>
      <c r="O126" s="1093">
        <v>2</v>
      </c>
      <c r="P126" s="1093">
        <v>5</v>
      </c>
      <c r="Q126" s="1093">
        <v>163</v>
      </c>
      <c r="R126" s="1093">
        <v>8</v>
      </c>
      <c r="S126" s="1097"/>
      <c r="T126" s="1097"/>
      <c r="U126" s="1097"/>
      <c r="V126" s="1097"/>
      <c r="W126" s="1097"/>
      <c r="X126" s="1097"/>
      <c r="Y126" s="1008">
        <f t="shared" si="102"/>
        <v>15000000</v>
      </c>
      <c r="Z126" s="1008"/>
      <c r="AA126" s="1008"/>
      <c r="AB126" s="1008"/>
      <c r="AC126" s="1008"/>
      <c r="AD126" s="1008"/>
      <c r="AE126" s="1008"/>
      <c r="AF126" s="1008"/>
      <c r="AG126" s="1008"/>
      <c r="AH126" s="1008"/>
      <c r="AI126" s="1008"/>
      <c r="AJ126" s="1008"/>
      <c r="AK126" s="1008"/>
      <c r="AL126" s="1008"/>
      <c r="AM126" s="1008"/>
      <c r="AN126" s="1008"/>
      <c r="AO126" s="1008"/>
      <c r="AP126" s="1008">
        <v>15000000</v>
      </c>
      <c r="AQ126" s="1008"/>
      <c r="AR126" s="1008"/>
      <c r="AS126" s="1008"/>
      <c r="AU126" s="1011">
        <f t="shared" si="103"/>
        <v>0.72526440000000003</v>
      </c>
      <c r="AV126" s="1008">
        <f t="shared" si="104"/>
        <v>10878966</v>
      </c>
      <c r="AW126" s="1008"/>
      <c r="AX126" s="1008"/>
      <c r="AY126" s="1008"/>
      <c r="AZ126" s="1008"/>
      <c r="BA126" s="1008"/>
      <c r="BB126" s="1008"/>
      <c r="BC126" s="1008"/>
      <c r="BD126" s="1008"/>
      <c r="BE126" s="1008"/>
      <c r="BF126" s="1008"/>
      <c r="BG126" s="1008"/>
      <c r="BH126" s="1008"/>
      <c r="BI126" s="1008"/>
      <c r="BJ126" s="1008"/>
      <c r="BK126" s="1008"/>
      <c r="BL126" s="1008"/>
      <c r="BM126" s="1008">
        <f>+'[18]OCTUBRE 2015'!$Z$1404</f>
        <v>10878966</v>
      </c>
      <c r="BN126" s="1008"/>
      <c r="BO126" s="1008"/>
      <c r="BP126" s="1008"/>
      <c r="BQ126" s="1011">
        <f t="shared" si="105"/>
        <v>0.27473559999999997</v>
      </c>
      <c r="BR126" s="1008">
        <f t="shared" si="106"/>
        <v>4121034</v>
      </c>
      <c r="BS126" s="1008">
        <f t="shared" si="125"/>
        <v>0</v>
      </c>
      <c r="BT126" s="1008">
        <f t="shared" si="126"/>
        <v>0</v>
      </c>
      <c r="BU126" s="1008"/>
      <c r="BV126" s="1008">
        <f t="shared" si="127"/>
        <v>0</v>
      </c>
      <c r="BW126" s="1008"/>
      <c r="BX126" s="1008">
        <f t="shared" si="128"/>
        <v>0</v>
      </c>
      <c r="BY126" s="1008">
        <f t="shared" si="128"/>
        <v>0</v>
      </c>
      <c r="BZ126" s="1008"/>
      <c r="CA126" s="1008"/>
      <c r="CB126" s="1008"/>
      <c r="CC126" s="1008"/>
      <c r="CD126" s="1008">
        <f t="shared" si="129"/>
        <v>0</v>
      </c>
      <c r="CE126" s="1008">
        <f t="shared" si="129"/>
        <v>0</v>
      </c>
      <c r="CF126" s="1008">
        <f t="shared" si="129"/>
        <v>0</v>
      </c>
      <c r="CG126" s="1008">
        <f t="shared" si="129"/>
        <v>0</v>
      </c>
      <c r="CH126" s="1008">
        <f t="shared" si="111"/>
        <v>0</v>
      </c>
      <c r="CI126" s="1008">
        <f t="shared" si="111"/>
        <v>4121034</v>
      </c>
      <c r="CJ126" s="1008"/>
      <c r="CK126" s="1008"/>
      <c r="CL126" s="1008">
        <f t="shared" si="130"/>
        <v>0</v>
      </c>
      <c r="CM126" s="1011">
        <f t="shared" si="113"/>
        <v>0.72526440000000003</v>
      </c>
      <c r="CN126" s="1008">
        <f t="shared" si="114"/>
        <v>10878966</v>
      </c>
      <c r="CO126" s="1008"/>
      <c r="CP126" s="1008"/>
      <c r="CQ126" s="1008"/>
      <c r="CR126" s="1008"/>
      <c r="CS126" s="1008"/>
      <c r="CT126" s="1008"/>
      <c r="CU126" s="1008"/>
      <c r="CV126" s="1008"/>
      <c r="CW126" s="1008"/>
      <c r="CX126" s="1008"/>
      <c r="CY126" s="1008"/>
      <c r="CZ126" s="1008"/>
      <c r="DA126" s="1008"/>
      <c r="DB126" s="1008"/>
      <c r="DC126" s="1008"/>
      <c r="DD126" s="1008"/>
      <c r="DE126" s="1008">
        <f>+'[18]OCTUBRE 2015'!$H$1402</f>
        <v>10878966</v>
      </c>
      <c r="DF126" s="1008"/>
      <c r="DG126" s="1008"/>
      <c r="DH126" s="1008"/>
      <c r="DI126" s="1011">
        <f t="shared" si="115"/>
        <v>0.27473559999999997</v>
      </c>
      <c r="DJ126" s="1008">
        <f t="shared" si="116"/>
        <v>4121034</v>
      </c>
      <c r="DK126" s="1008">
        <f t="shared" si="131"/>
        <v>0</v>
      </c>
      <c r="DL126" s="1008"/>
      <c r="DM126" s="1008"/>
      <c r="DN126" s="1008">
        <f t="shared" si="132"/>
        <v>0</v>
      </c>
      <c r="DO126" s="1008"/>
      <c r="DP126" s="1008">
        <f t="shared" si="133"/>
        <v>0</v>
      </c>
      <c r="DQ126" s="1008">
        <f t="shared" si="133"/>
        <v>0</v>
      </c>
      <c r="DR126" s="1008"/>
      <c r="DS126" s="1008">
        <f t="shared" si="134"/>
        <v>0</v>
      </c>
      <c r="DT126" s="1008">
        <f t="shared" si="134"/>
        <v>0</v>
      </c>
      <c r="DU126" s="1008"/>
      <c r="DV126" s="1008">
        <f t="shared" si="135"/>
        <v>0</v>
      </c>
      <c r="DW126" s="1008">
        <f t="shared" si="135"/>
        <v>0</v>
      </c>
      <c r="DX126" s="1008">
        <f t="shared" si="135"/>
        <v>0</v>
      </c>
      <c r="DY126" s="1008">
        <f t="shared" si="136"/>
        <v>0</v>
      </c>
      <c r="DZ126" s="1008">
        <f t="shared" si="124"/>
        <v>0</v>
      </c>
      <c r="EA126" s="1008">
        <f t="shared" si="124"/>
        <v>4121034</v>
      </c>
      <c r="EB126" s="1008">
        <f t="shared" si="124"/>
        <v>0</v>
      </c>
      <c r="EC126" s="1008"/>
      <c r="ED126" s="1008">
        <f t="shared" si="137"/>
        <v>0</v>
      </c>
    </row>
    <row r="127" spans="1:134" ht="30.75" customHeight="1" x14ac:dyDescent="0.25">
      <c r="A127" s="1559"/>
      <c r="B127" s="989"/>
      <c r="C127" s="1094" t="s">
        <v>4468</v>
      </c>
      <c r="D127" s="1019" t="s">
        <v>4639</v>
      </c>
      <c r="E127" s="997">
        <v>301</v>
      </c>
      <c r="F127" s="1097" t="s">
        <v>4661</v>
      </c>
      <c r="G127" s="1401"/>
      <c r="H127" s="1061">
        <f t="shared" si="100"/>
        <v>126292600</v>
      </c>
      <c r="I127" s="1061">
        <f>Y127-H127</f>
        <v>26507400</v>
      </c>
      <c r="J127" s="1097" t="s">
        <v>4922</v>
      </c>
      <c r="K127" s="1093" t="s">
        <v>4923</v>
      </c>
      <c r="L127" s="1093" t="s">
        <v>4924</v>
      </c>
      <c r="M127" s="1093">
        <v>2</v>
      </c>
      <c r="N127" s="1093">
        <v>0</v>
      </c>
      <c r="O127" s="1093">
        <v>0</v>
      </c>
      <c r="P127" s="1093">
        <v>39</v>
      </c>
      <c r="Q127" s="1093">
        <v>15</v>
      </c>
      <c r="R127" s="1093">
        <v>6</v>
      </c>
      <c r="S127" s="1097"/>
      <c r="T127" s="1097"/>
      <c r="U127" s="1097"/>
      <c r="V127" s="1097"/>
      <c r="W127" s="1097"/>
      <c r="X127" s="1097"/>
      <c r="Y127" s="1008">
        <f t="shared" si="102"/>
        <v>152800000</v>
      </c>
      <c r="Z127" s="1008"/>
      <c r="AA127" s="1008"/>
      <c r="AB127" s="1008"/>
      <c r="AC127" s="1008"/>
      <c r="AD127" s="1008"/>
      <c r="AE127" s="1008"/>
      <c r="AF127" s="1008"/>
      <c r="AG127" s="1008"/>
      <c r="AH127" s="1008"/>
      <c r="AI127" s="1008"/>
      <c r="AJ127" s="1008"/>
      <c r="AK127" s="1008"/>
      <c r="AL127" s="1008"/>
      <c r="AM127" s="1008"/>
      <c r="AN127" s="1008">
        <v>137800000</v>
      </c>
      <c r="AO127" s="1008"/>
      <c r="AP127" s="1008">
        <v>15000000</v>
      </c>
      <c r="AQ127" s="1008"/>
      <c r="AR127" s="1008"/>
      <c r="AS127" s="1008"/>
      <c r="AU127" s="1011">
        <f t="shared" si="103"/>
        <v>0.82652225130890056</v>
      </c>
      <c r="AV127" s="1008">
        <f t="shared" si="104"/>
        <v>126292600</v>
      </c>
      <c r="AW127" s="1008"/>
      <c r="AX127" s="1008"/>
      <c r="AY127" s="1008"/>
      <c r="AZ127" s="1008"/>
      <c r="BA127" s="1008"/>
      <c r="BB127" s="1008"/>
      <c r="BC127" s="1008"/>
      <c r="BD127" s="1008"/>
      <c r="BE127" s="1008"/>
      <c r="BF127" s="1008"/>
      <c r="BG127" s="1008"/>
      <c r="BH127" s="1008"/>
      <c r="BI127" s="1008"/>
      <c r="BJ127" s="1008"/>
      <c r="BK127" s="1008">
        <f>+'[18]OCTUBRE 2015'!$X$1421</f>
        <v>123715200</v>
      </c>
      <c r="BL127" s="1008"/>
      <c r="BM127" s="1008">
        <f>+'[18]OCTUBRE 2015'!$Z$1421</f>
        <v>2577400</v>
      </c>
      <c r="BN127" s="1008"/>
      <c r="BO127" s="1008"/>
      <c r="BP127" s="1008"/>
      <c r="BQ127" s="1011">
        <f t="shared" si="105"/>
        <v>0.17347774869109944</v>
      </c>
      <c r="BR127" s="1008">
        <f t="shared" si="106"/>
        <v>26507400</v>
      </c>
      <c r="BS127" s="1008">
        <f t="shared" si="125"/>
        <v>0</v>
      </c>
      <c r="BT127" s="1008">
        <f t="shared" si="126"/>
        <v>0</v>
      </c>
      <c r="BU127" s="1008"/>
      <c r="BV127" s="1008">
        <f t="shared" si="127"/>
        <v>0</v>
      </c>
      <c r="BW127" s="1008"/>
      <c r="BX127" s="1008">
        <f t="shared" si="128"/>
        <v>0</v>
      </c>
      <c r="BY127" s="1008">
        <f t="shared" si="128"/>
        <v>0</v>
      </c>
      <c r="BZ127" s="1008"/>
      <c r="CA127" s="1008"/>
      <c r="CB127" s="1008"/>
      <c r="CC127" s="1008"/>
      <c r="CD127" s="1008">
        <f t="shared" si="129"/>
        <v>0</v>
      </c>
      <c r="CE127" s="1008">
        <f t="shared" si="129"/>
        <v>0</v>
      </c>
      <c r="CF127" s="1008">
        <f t="shared" si="129"/>
        <v>0</v>
      </c>
      <c r="CG127" s="1008">
        <f t="shared" si="129"/>
        <v>14084800</v>
      </c>
      <c r="CH127" s="1008">
        <f t="shared" si="111"/>
        <v>0</v>
      </c>
      <c r="CI127" s="1008">
        <f t="shared" si="111"/>
        <v>12422600</v>
      </c>
      <c r="CJ127" s="1008"/>
      <c r="CK127" s="1008"/>
      <c r="CL127" s="1008">
        <f t="shared" si="130"/>
        <v>0</v>
      </c>
      <c r="CM127" s="1011">
        <f t="shared" si="113"/>
        <v>0.82652225130890056</v>
      </c>
      <c r="CN127" s="1008">
        <f t="shared" si="114"/>
        <v>126292600</v>
      </c>
      <c r="CO127" s="1008"/>
      <c r="CP127" s="1008"/>
      <c r="CQ127" s="1008"/>
      <c r="CR127" s="1008"/>
      <c r="CS127" s="1008"/>
      <c r="CT127" s="1008"/>
      <c r="CU127" s="1008"/>
      <c r="CV127" s="1008"/>
      <c r="CW127" s="1008"/>
      <c r="CX127" s="1008"/>
      <c r="CY127" s="1008"/>
      <c r="CZ127" s="1008"/>
      <c r="DA127" s="1008"/>
      <c r="DB127" s="1008"/>
      <c r="DC127" s="1008">
        <f>+'[18]OCTUBRE 2015'!$X$1421</f>
        <v>123715200</v>
      </c>
      <c r="DD127" s="1008"/>
      <c r="DE127" s="1008">
        <f>+'[12]MAYO 2015'!$H$689</f>
        <v>2577400</v>
      </c>
      <c r="DF127" s="1008"/>
      <c r="DG127" s="1008"/>
      <c r="DH127" s="1008"/>
      <c r="DI127" s="1011">
        <f t="shared" si="115"/>
        <v>0.17347774869109944</v>
      </c>
      <c r="DJ127" s="1008">
        <f t="shared" si="116"/>
        <v>26507400</v>
      </c>
      <c r="DK127" s="1008">
        <f t="shared" si="131"/>
        <v>0</v>
      </c>
      <c r="DL127" s="1008"/>
      <c r="DM127" s="1008"/>
      <c r="DN127" s="1008">
        <f t="shared" si="132"/>
        <v>0</v>
      </c>
      <c r="DO127" s="1008"/>
      <c r="DP127" s="1008">
        <f t="shared" si="133"/>
        <v>0</v>
      </c>
      <c r="DQ127" s="1008">
        <f t="shared" si="133"/>
        <v>0</v>
      </c>
      <c r="DR127" s="1008"/>
      <c r="DS127" s="1008">
        <f t="shared" si="134"/>
        <v>0</v>
      </c>
      <c r="DT127" s="1008">
        <f t="shared" si="134"/>
        <v>0</v>
      </c>
      <c r="DU127" s="1008"/>
      <c r="DV127" s="1008">
        <f t="shared" si="135"/>
        <v>0</v>
      </c>
      <c r="DW127" s="1008">
        <f t="shared" si="135"/>
        <v>0</v>
      </c>
      <c r="DX127" s="1008">
        <f t="shared" si="135"/>
        <v>0</v>
      </c>
      <c r="DY127" s="1008">
        <f t="shared" si="136"/>
        <v>14084800</v>
      </c>
      <c r="DZ127" s="1008">
        <f t="shared" si="124"/>
        <v>0</v>
      </c>
      <c r="EA127" s="1008">
        <f t="shared" si="124"/>
        <v>12422600</v>
      </c>
      <c r="EB127" s="1008">
        <f t="shared" si="124"/>
        <v>0</v>
      </c>
      <c r="EC127" s="1008"/>
      <c r="ED127" s="1008">
        <f t="shared" si="137"/>
        <v>0</v>
      </c>
    </row>
    <row r="128" spans="1:134" ht="26.25" customHeight="1" x14ac:dyDescent="0.25">
      <c r="A128" s="1559"/>
      <c r="B128" s="989" t="s">
        <v>4446</v>
      </c>
      <c r="C128" s="1094" t="s">
        <v>4690</v>
      </c>
      <c r="D128" s="1019" t="s">
        <v>4640</v>
      </c>
      <c r="E128" s="997">
        <v>301</v>
      </c>
      <c r="F128" s="1097" t="s">
        <v>4661</v>
      </c>
      <c r="G128" s="1097">
        <v>50000000</v>
      </c>
      <c r="H128" s="1061">
        <f t="shared" si="100"/>
        <v>45969645</v>
      </c>
      <c r="I128" s="1061">
        <f>Y128-H128</f>
        <v>4030355</v>
      </c>
      <c r="J128" s="1097" t="s">
        <v>4925</v>
      </c>
      <c r="K128" s="1093" t="s">
        <v>4926</v>
      </c>
      <c r="L128" s="1093" t="s">
        <v>4927</v>
      </c>
      <c r="M128" s="1093">
        <v>60</v>
      </c>
      <c r="N128" s="1093">
        <v>0</v>
      </c>
      <c r="O128" s="1093">
        <v>0</v>
      </c>
      <c r="P128" s="1093">
        <v>64</v>
      </c>
      <c r="Q128" s="1093">
        <v>36</v>
      </c>
      <c r="R128" s="1093">
        <v>23</v>
      </c>
      <c r="S128" s="1097"/>
      <c r="T128" s="1097"/>
      <c r="U128" s="1097"/>
      <c r="V128" s="1097"/>
      <c r="W128" s="1097"/>
      <c r="X128" s="1097"/>
      <c r="Y128" s="1008">
        <f t="shared" si="102"/>
        <v>50000000</v>
      </c>
      <c r="Z128" s="1008"/>
      <c r="AA128" s="1008"/>
      <c r="AB128" s="1008"/>
      <c r="AC128" s="1008"/>
      <c r="AD128" s="1008"/>
      <c r="AE128" s="1008"/>
      <c r="AF128" s="1008"/>
      <c r="AG128" s="1008"/>
      <c r="AH128" s="1008"/>
      <c r="AI128" s="1008"/>
      <c r="AJ128" s="1008"/>
      <c r="AK128" s="1008"/>
      <c r="AL128" s="1008"/>
      <c r="AM128" s="1008">
        <v>50000000</v>
      </c>
      <c r="AN128" s="1008"/>
      <c r="AO128" s="1008"/>
      <c r="AP128" s="1008"/>
      <c r="AQ128" s="1008"/>
      <c r="AR128" s="1008"/>
      <c r="AS128" s="1008"/>
      <c r="AU128" s="1011">
        <f t="shared" si="103"/>
        <v>1</v>
      </c>
      <c r="AV128" s="1008">
        <f t="shared" si="104"/>
        <v>50000000</v>
      </c>
      <c r="AW128" s="1008"/>
      <c r="AX128" s="1008"/>
      <c r="AY128" s="1008"/>
      <c r="AZ128" s="1008"/>
      <c r="BA128" s="1008"/>
      <c r="BB128" s="1008"/>
      <c r="BC128" s="1008"/>
      <c r="BD128" s="1008"/>
      <c r="BE128" s="1008"/>
      <c r="BF128" s="1008"/>
      <c r="BG128" s="1008"/>
      <c r="BH128" s="1008"/>
      <c r="BI128" s="1008"/>
      <c r="BJ128" s="1008">
        <f>+'[7]ENERO 2015'!$T$374</f>
        <v>50000000</v>
      </c>
      <c r="BK128" s="1008"/>
      <c r="BL128" s="1008"/>
      <c r="BM128" s="1008"/>
      <c r="BN128" s="1008"/>
      <c r="BO128" s="1008"/>
      <c r="BP128" s="1008"/>
      <c r="BQ128" s="1011">
        <f t="shared" si="105"/>
        <v>0</v>
      </c>
      <c r="BR128" s="1008">
        <f t="shared" si="106"/>
        <v>0</v>
      </c>
      <c r="BS128" s="1008">
        <f t="shared" si="125"/>
        <v>0</v>
      </c>
      <c r="BT128" s="1008">
        <f t="shared" si="126"/>
        <v>0</v>
      </c>
      <c r="BU128" s="1008"/>
      <c r="BV128" s="1008">
        <f t="shared" si="127"/>
        <v>0</v>
      </c>
      <c r="BW128" s="1008"/>
      <c r="BX128" s="1008">
        <f t="shared" si="128"/>
        <v>0</v>
      </c>
      <c r="BY128" s="1008">
        <f t="shared" si="128"/>
        <v>0</v>
      </c>
      <c r="BZ128" s="1008"/>
      <c r="CA128" s="1008"/>
      <c r="CB128" s="1008"/>
      <c r="CC128" s="1008"/>
      <c r="CD128" s="1008">
        <f t="shared" si="129"/>
        <v>0</v>
      </c>
      <c r="CE128" s="1008">
        <f t="shared" si="129"/>
        <v>0</v>
      </c>
      <c r="CF128" s="1008">
        <f t="shared" si="129"/>
        <v>0</v>
      </c>
      <c r="CG128" s="1008">
        <f t="shared" si="129"/>
        <v>0</v>
      </c>
      <c r="CH128" s="1008">
        <f t="shared" si="111"/>
        <v>0</v>
      </c>
      <c r="CI128" s="1008">
        <f t="shared" si="111"/>
        <v>0</v>
      </c>
      <c r="CJ128" s="1008"/>
      <c r="CK128" s="1008"/>
      <c r="CL128" s="1008">
        <f t="shared" si="130"/>
        <v>0</v>
      </c>
      <c r="CM128" s="1011">
        <f t="shared" si="113"/>
        <v>0.91939289999999996</v>
      </c>
      <c r="CN128" s="1008">
        <f t="shared" si="114"/>
        <v>45969645</v>
      </c>
      <c r="CO128" s="1008"/>
      <c r="CP128" s="1008"/>
      <c r="CQ128" s="1008"/>
      <c r="CR128" s="1008"/>
      <c r="CS128" s="1008"/>
      <c r="CT128" s="1008"/>
      <c r="CU128" s="1008"/>
      <c r="CV128" s="1008"/>
      <c r="CW128" s="1008"/>
      <c r="CX128" s="1008"/>
      <c r="CY128" s="1008"/>
      <c r="CZ128" s="1008"/>
      <c r="DA128" s="1008"/>
      <c r="DB128" s="1008">
        <f>+'[18]OCTUBRE 2015'!$H$1468</f>
        <v>45969645</v>
      </c>
      <c r="DC128" s="1008"/>
      <c r="DD128" s="1008"/>
      <c r="DE128" s="1008"/>
      <c r="DF128" s="1008"/>
      <c r="DG128" s="1008"/>
      <c r="DH128" s="1008"/>
      <c r="DI128" s="1011">
        <f t="shared" si="115"/>
        <v>8.0607100000000043E-2</v>
      </c>
      <c r="DJ128" s="1008">
        <f t="shared" si="116"/>
        <v>4030355</v>
      </c>
      <c r="DK128" s="1008">
        <f t="shared" si="131"/>
        <v>0</v>
      </c>
      <c r="DL128" s="1008"/>
      <c r="DM128" s="1008"/>
      <c r="DN128" s="1008">
        <f t="shared" si="132"/>
        <v>0</v>
      </c>
      <c r="DO128" s="1008"/>
      <c r="DP128" s="1008">
        <f t="shared" si="133"/>
        <v>0</v>
      </c>
      <c r="DQ128" s="1008">
        <f t="shared" si="133"/>
        <v>0</v>
      </c>
      <c r="DR128" s="1008"/>
      <c r="DS128" s="1008">
        <f t="shared" si="134"/>
        <v>0</v>
      </c>
      <c r="DT128" s="1008">
        <f t="shared" si="134"/>
        <v>0</v>
      </c>
      <c r="DU128" s="1008"/>
      <c r="DV128" s="1008">
        <f t="shared" si="135"/>
        <v>0</v>
      </c>
      <c r="DW128" s="1008">
        <f t="shared" si="135"/>
        <v>0</v>
      </c>
      <c r="DX128" s="1008">
        <f t="shared" si="135"/>
        <v>4030355</v>
      </c>
      <c r="DY128" s="1008">
        <f t="shared" si="136"/>
        <v>0</v>
      </c>
      <c r="DZ128" s="1008">
        <f t="shared" si="124"/>
        <v>0</v>
      </c>
      <c r="EA128" s="1008">
        <f t="shared" si="124"/>
        <v>0</v>
      </c>
      <c r="EB128" s="1008">
        <f t="shared" si="124"/>
        <v>0</v>
      </c>
      <c r="EC128" s="1008"/>
      <c r="ED128" s="1008">
        <f t="shared" si="137"/>
        <v>0</v>
      </c>
    </row>
    <row r="129" spans="1:136" s="948" customFormat="1" ht="24" customHeight="1" thickBot="1" x14ac:dyDescent="0.3">
      <c r="A129" s="1057"/>
      <c r="B129" s="1544" t="s">
        <v>4447</v>
      </c>
      <c r="C129" s="1545"/>
      <c r="D129" s="1545"/>
      <c r="E129" s="1545"/>
      <c r="F129" s="1546"/>
      <c r="G129" s="1009">
        <f>SUM(G106:G128)</f>
        <v>1952000000</v>
      </c>
      <c r="H129" s="1009">
        <f>SUM(H106:H128)</f>
        <v>2270218833</v>
      </c>
      <c r="I129" s="1009">
        <f>SUM(I106:I128)</f>
        <v>285017967</v>
      </c>
      <c r="J129" s="1105"/>
      <c r="K129" s="1105"/>
      <c r="L129" s="1105"/>
      <c r="M129" s="1105"/>
      <c r="N129" s="1105"/>
      <c r="O129" s="1105"/>
      <c r="P129" s="1105"/>
      <c r="Q129" s="1105"/>
      <c r="R129" s="1105"/>
      <c r="S129" s="1105"/>
      <c r="T129" s="1105"/>
      <c r="U129" s="1105"/>
      <c r="V129" s="1105"/>
      <c r="W129" s="1105"/>
      <c r="X129" s="1105"/>
      <c r="Y129" s="1009">
        <f t="shared" ref="Y129:AS129" si="138">SUM(Y106:Y128)</f>
        <v>2555236800</v>
      </c>
      <c r="Z129" s="1009">
        <f t="shared" si="138"/>
        <v>104079469</v>
      </c>
      <c r="AA129" s="1009">
        <f t="shared" si="138"/>
        <v>0</v>
      </c>
      <c r="AB129" s="1009">
        <f t="shared" si="138"/>
        <v>0</v>
      </c>
      <c r="AC129" s="1009">
        <f t="shared" si="138"/>
        <v>0</v>
      </c>
      <c r="AD129" s="1009">
        <f t="shared" si="138"/>
        <v>0</v>
      </c>
      <c r="AE129" s="1009">
        <f t="shared" si="138"/>
        <v>0</v>
      </c>
      <c r="AF129" s="1009">
        <f t="shared" si="138"/>
        <v>0</v>
      </c>
      <c r="AG129" s="1009">
        <f t="shared" si="138"/>
        <v>0</v>
      </c>
      <c r="AH129" s="1009">
        <f t="shared" si="138"/>
        <v>0</v>
      </c>
      <c r="AI129" s="1009">
        <f t="shared" si="138"/>
        <v>0</v>
      </c>
      <c r="AJ129" s="1009">
        <f t="shared" si="138"/>
        <v>0</v>
      </c>
      <c r="AK129" s="1009">
        <f t="shared" si="138"/>
        <v>0</v>
      </c>
      <c r="AL129" s="1009">
        <f t="shared" si="138"/>
        <v>0</v>
      </c>
      <c r="AM129" s="1009">
        <f t="shared" si="138"/>
        <v>728406867</v>
      </c>
      <c r="AN129" s="1009">
        <f t="shared" si="138"/>
        <v>346819196</v>
      </c>
      <c r="AO129" s="1009">
        <f t="shared" si="138"/>
        <v>120323279</v>
      </c>
      <c r="AP129" s="1009">
        <f t="shared" si="138"/>
        <v>1181607989</v>
      </c>
      <c r="AQ129" s="1009">
        <f t="shared" si="138"/>
        <v>0</v>
      </c>
      <c r="AR129" s="1009">
        <f t="shared" si="138"/>
        <v>0</v>
      </c>
      <c r="AS129" s="1009">
        <f t="shared" si="138"/>
        <v>74000000</v>
      </c>
      <c r="AU129" s="1012">
        <f t="shared" si="103"/>
        <v>0.95536877443217783</v>
      </c>
      <c r="AV129" s="1009">
        <f>SUM(AV106:AV128)</f>
        <v>2441193450</v>
      </c>
      <c r="AW129" s="1009">
        <f>SUM(AW106:AW128)</f>
        <v>103245422</v>
      </c>
      <c r="AX129" s="1009">
        <f>SUM(AX106:AX128)</f>
        <v>0</v>
      </c>
      <c r="AY129" s="1009"/>
      <c r="AZ129" s="1009">
        <f>SUM(AZ106:AZ128)</f>
        <v>0</v>
      </c>
      <c r="BA129" s="1009"/>
      <c r="BB129" s="1009">
        <f t="shared" ref="BB129:BP129" si="139">SUM(BB106:BB128)</f>
        <v>0</v>
      </c>
      <c r="BC129" s="1009">
        <f t="shared" si="139"/>
        <v>0</v>
      </c>
      <c r="BD129" s="1009">
        <f t="shared" si="139"/>
        <v>0</v>
      </c>
      <c r="BE129" s="1009">
        <f t="shared" si="139"/>
        <v>0</v>
      </c>
      <c r="BF129" s="1009">
        <f t="shared" si="139"/>
        <v>0</v>
      </c>
      <c r="BG129" s="1009">
        <f t="shared" si="139"/>
        <v>0</v>
      </c>
      <c r="BH129" s="1009">
        <f t="shared" si="139"/>
        <v>0</v>
      </c>
      <c r="BI129" s="1009">
        <f t="shared" si="139"/>
        <v>0</v>
      </c>
      <c r="BJ129" s="1009">
        <f t="shared" si="139"/>
        <v>709199167</v>
      </c>
      <c r="BK129" s="1009">
        <f t="shared" si="139"/>
        <v>332734396</v>
      </c>
      <c r="BL129" s="1009">
        <f t="shared" si="139"/>
        <v>90750110</v>
      </c>
      <c r="BM129" s="1009">
        <f t="shared" si="139"/>
        <v>1141064355</v>
      </c>
      <c r="BN129" s="1009">
        <f t="shared" si="139"/>
        <v>0</v>
      </c>
      <c r="BO129" s="1009">
        <f t="shared" si="139"/>
        <v>0</v>
      </c>
      <c r="BP129" s="1009">
        <f t="shared" si="139"/>
        <v>64200000</v>
      </c>
      <c r="BQ129" s="1012">
        <f t="shared" si="105"/>
        <v>4.4631225567822175E-2</v>
      </c>
      <c r="BR129" s="1009">
        <f>SUM(BR106:BR128)</f>
        <v>114043350</v>
      </c>
      <c r="BS129" s="1009">
        <f>SUM(BS106:BS128)</f>
        <v>834047</v>
      </c>
      <c r="BT129" s="1009">
        <f>SUM(BT106:BT128)</f>
        <v>0</v>
      </c>
      <c r="BU129" s="1009"/>
      <c r="BV129" s="1009">
        <f t="shared" ref="BV129:CL129" si="140">SUM(BV106:BV128)</f>
        <v>0</v>
      </c>
      <c r="BW129" s="1009">
        <f t="shared" si="140"/>
        <v>0</v>
      </c>
      <c r="BX129" s="1009">
        <f t="shared" si="140"/>
        <v>0</v>
      </c>
      <c r="BY129" s="1009">
        <f t="shared" si="140"/>
        <v>0</v>
      </c>
      <c r="BZ129" s="1009">
        <f t="shared" si="140"/>
        <v>0</v>
      </c>
      <c r="CA129" s="1009">
        <f t="shared" si="140"/>
        <v>0</v>
      </c>
      <c r="CB129" s="1009">
        <f t="shared" si="140"/>
        <v>0</v>
      </c>
      <c r="CC129" s="1009">
        <f t="shared" si="140"/>
        <v>0</v>
      </c>
      <c r="CD129" s="1009">
        <f t="shared" si="140"/>
        <v>0</v>
      </c>
      <c r="CE129" s="1009">
        <f t="shared" si="140"/>
        <v>0</v>
      </c>
      <c r="CF129" s="1009">
        <f t="shared" si="140"/>
        <v>19207700</v>
      </c>
      <c r="CG129" s="1009">
        <f t="shared" si="140"/>
        <v>14084800</v>
      </c>
      <c r="CH129" s="1009">
        <f t="shared" si="140"/>
        <v>29573169</v>
      </c>
      <c r="CI129" s="1009">
        <f t="shared" si="140"/>
        <v>40543634</v>
      </c>
      <c r="CJ129" s="1009">
        <f t="shared" si="140"/>
        <v>0</v>
      </c>
      <c r="CK129" s="1009">
        <f t="shared" si="140"/>
        <v>0</v>
      </c>
      <c r="CL129" s="1009">
        <f t="shared" si="140"/>
        <v>9800000</v>
      </c>
      <c r="CM129" s="1012">
        <f t="shared" si="113"/>
        <v>0.88845731753706736</v>
      </c>
      <c r="CN129" s="1009">
        <f>SUM(CN106:CN128)</f>
        <v>2270218833</v>
      </c>
      <c r="CO129" s="1009">
        <f>SUM(CO106:CO128)</f>
        <v>94013966</v>
      </c>
      <c r="CP129" s="1009">
        <f>SUM(CP106:CP128)</f>
        <v>0</v>
      </c>
      <c r="CQ129" s="1009"/>
      <c r="CR129" s="1009">
        <f>SUM(CR106:CR128)</f>
        <v>0</v>
      </c>
      <c r="CS129" s="1009"/>
      <c r="CT129" s="1009">
        <f>SUM(CT106:CT128)</f>
        <v>0</v>
      </c>
      <c r="CU129" s="1009">
        <f>SUM(CU106:CU128)</f>
        <v>0</v>
      </c>
      <c r="CV129" s="1009"/>
      <c r="CW129" s="1009">
        <f t="shared" ref="CW129:DH129" si="141">SUM(CW106:CW128)</f>
        <v>0</v>
      </c>
      <c r="CX129" s="1009">
        <f t="shared" si="141"/>
        <v>0</v>
      </c>
      <c r="CY129" s="1009">
        <f t="shared" si="141"/>
        <v>0</v>
      </c>
      <c r="CZ129" s="1009">
        <f t="shared" si="141"/>
        <v>0</v>
      </c>
      <c r="DA129" s="1009">
        <f t="shared" si="141"/>
        <v>0</v>
      </c>
      <c r="DB129" s="1009">
        <f t="shared" si="141"/>
        <v>670072305</v>
      </c>
      <c r="DC129" s="1009">
        <f t="shared" si="141"/>
        <v>332531008</v>
      </c>
      <c r="DD129" s="1009">
        <f t="shared" si="141"/>
        <v>56390498</v>
      </c>
      <c r="DE129" s="1009">
        <f t="shared" si="141"/>
        <v>1082996639</v>
      </c>
      <c r="DF129" s="1009">
        <f t="shared" si="141"/>
        <v>0</v>
      </c>
      <c r="DG129" s="1009">
        <f t="shared" si="141"/>
        <v>0</v>
      </c>
      <c r="DH129" s="1009">
        <f t="shared" si="141"/>
        <v>34214417</v>
      </c>
      <c r="DI129" s="1012">
        <f t="shared" si="115"/>
        <v>0.11154268246293264</v>
      </c>
      <c r="DJ129" s="1009">
        <f>SUM(DJ106:DJ128)</f>
        <v>285017967</v>
      </c>
      <c r="DK129" s="1009">
        <f>SUM(DK106:DK128)</f>
        <v>10065503</v>
      </c>
      <c r="DL129" s="1009">
        <f>SUM(DL106:DL128)</f>
        <v>0</v>
      </c>
      <c r="DM129" s="1009"/>
      <c r="DN129" s="1009">
        <f t="shared" ref="DN129:ED129" si="142">SUM(DN106:DN128)</f>
        <v>0</v>
      </c>
      <c r="DO129" s="1009">
        <f t="shared" si="142"/>
        <v>0</v>
      </c>
      <c r="DP129" s="1009">
        <f t="shared" si="142"/>
        <v>0</v>
      </c>
      <c r="DQ129" s="1009">
        <f t="shared" si="142"/>
        <v>0</v>
      </c>
      <c r="DR129" s="1009">
        <f t="shared" si="142"/>
        <v>0</v>
      </c>
      <c r="DS129" s="1009">
        <f t="shared" si="142"/>
        <v>0</v>
      </c>
      <c r="DT129" s="1009">
        <f t="shared" si="142"/>
        <v>0</v>
      </c>
      <c r="DU129" s="1009">
        <f t="shared" si="142"/>
        <v>0</v>
      </c>
      <c r="DV129" s="1009">
        <f t="shared" si="142"/>
        <v>0</v>
      </c>
      <c r="DW129" s="1009">
        <f t="shared" si="142"/>
        <v>0</v>
      </c>
      <c r="DX129" s="1009">
        <f t="shared" si="142"/>
        <v>58334562</v>
      </c>
      <c r="DY129" s="1009">
        <f t="shared" si="142"/>
        <v>14288188</v>
      </c>
      <c r="DZ129" s="1009">
        <f t="shared" si="142"/>
        <v>63932781</v>
      </c>
      <c r="EA129" s="1009">
        <f t="shared" si="142"/>
        <v>98611350</v>
      </c>
      <c r="EB129" s="1009">
        <f t="shared" si="142"/>
        <v>0</v>
      </c>
      <c r="EC129" s="1009">
        <f t="shared" si="142"/>
        <v>0</v>
      </c>
      <c r="ED129" s="1038">
        <f t="shared" si="142"/>
        <v>39785583</v>
      </c>
    </row>
    <row r="130" spans="1:136" ht="78" customHeight="1" thickTop="1" x14ac:dyDescent="0.25">
      <c r="A130" s="1560" t="s">
        <v>4757</v>
      </c>
      <c r="B130" s="990" t="s">
        <v>4448</v>
      </c>
      <c r="C130" s="1094" t="s">
        <v>4653</v>
      </c>
      <c r="D130" s="1019" t="s">
        <v>4644</v>
      </c>
      <c r="E130" s="995">
        <v>510</v>
      </c>
      <c r="F130" s="1097" t="s">
        <v>4548</v>
      </c>
      <c r="G130" s="1563">
        <v>10000000</v>
      </c>
      <c r="H130" s="1061">
        <f t="shared" ref="H130:H193" si="143">+CN130</f>
        <v>3000000</v>
      </c>
      <c r="I130" s="1061">
        <f t="shared" ref="I130:I193" si="144">Y130-H130</f>
        <v>0</v>
      </c>
      <c r="J130" s="1069">
        <v>0.3</v>
      </c>
      <c r="K130" s="1112">
        <v>1</v>
      </c>
      <c r="L130" s="1112">
        <v>0.37</v>
      </c>
      <c r="M130" s="1078">
        <v>100</v>
      </c>
      <c r="N130" s="1078">
        <v>30</v>
      </c>
      <c r="O130" s="1078">
        <v>30</v>
      </c>
      <c r="P130" s="1093">
        <v>100</v>
      </c>
      <c r="Q130" s="1093">
        <v>45</v>
      </c>
      <c r="R130" s="1093">
        <v>45</v>
      </c>
      <c r="S130" s="1097"/>
      <c r="T130" s="1097"/>
      <c r="U130" s="1097"/>
      <c r="V130" s="1097"/>
      <c r="W130" s="1097"/>
      <c r="X130" s="1097"/>
      <c r="Y130" s="1008">
        <f t="shared" ref="Y130:Y161" si="145">SUM(Z130:AS130)</f>
        <v>3000000</v>
      </c>
      <c r="Z130" s="1008"/>
      <c r="AA130" s="1008"/>
      <c r="AB130" s="1008"/>
      <c r="AC130" s="1008"/>
      <c r="AD130" s="1008"/>
      <c r="AE130" s="1008">
        <v>3000000</v>
      </c>
      <c r="AF130" s="1008"/>
      <c r="AG130" s="1008"/>
      <c r="AH130" s="1008"/>
      <c r="AI130" s="1008"/>
      <c r="AJ130" s="1008"/>
      <c r="AK130" s="1008"/>
      <c r="AL130" s="1008"/>
      <c r="AM130" s="1008"/>
      <c r="AN130" s="1008"/>
      <c r="AO130" s="1008"/>
      <c r="AP130" s="1008"/>
      <c r="AQ130" s="1008"/>
      <c r="AR130" s="1008"/>
      <c r="AS130" s="1008"/>
      <c r="AU130" s="1011">
        <f t="shared" si="103"/>
        <v>1</v>
      </c>
      <c r="AV130" s="1008">
        <f t="shared" ref="AV130:AV161" si="146">SUM(AW130:BP130)</f>
        <v>3000000</v>
      </c>
      <c r="AW130" s="1008"/>
      <c r="AX130" s="1008"/>
      <c r="AY130" s="1008"/>
      <c r="AZ130" s="1008"/>
      <c r="BA130" s="1008"/>
      <c r="BB130" s="1008">
        <f>+'[10]MARZO 2015'!$N$1116</f>
        <v>3000000</v>
      </c>
      <c r="BC130" s="1008"/>
      <c r="BD130" s="1008"/>
      <c r="BE130" s="1008"/>
      <c r="BF130" s="1008"/>
      <c r="BG130" s="1008"/>
      <c r="BH130" s="1008"/>
      <c r="BI130" s="1008"/>
      <c r="BJ130" s="1008"/>
      <c r="BK130" s="1008"/>
      <c r="BL130" s="1008"/>
      <c r="BM130" s="1008"/>
      <c r="BN130" s="1008"/>
      <c r="BO130" s="1008"/>
      <c r="BP130" s="1008"/>
      <c r="BQ130" s="1011">
        <f t="shared" si="105"/>
        <v>0</v>
      </c>
      <c r="BR130" s="1008">
        <f t="shared" ref="BR130:BR161" si="147">SUM(BS130:CL130)</f>
        <v>0</v>
      </c>
      <c r="BS130" s="1008">
        <f t="shared" ref="BS130:BS150" si="148">+Z130-AW130</f>
        <v>0</v>
      </c>
      <c r="BT130" s="1008">
        <f t="shared" ref="BT130:BT150" si="149">AA130-AX130</f>
        <v>0</v>
      </c>
      <c r="BU130" s="1008"/>
      <c r="BV130" s="1008">
        <f t="shared" ref="BV130:BW150" si="150">AC130-AZ130</f>
        <v>0</v>
      </c>
      <c r="BW130" s="1008">
        <f t="shared" si="150"/>
        <v>0</v>
      </c>
      <c r="BX130" s="1008">
        <f t="shared" ref="BX130:BY150" si="151">+AE130-BB130</f>
        <v>0</v>
      </c>
      <c r="BY130" s="1008">
        <f t="shared" si="151"/>
        <v>0</v>
      </c>
      <c r="BZ130" s="1008"/>
      <c r="CA130" s="1008">
        <f t="shared" ref="CA130:CI150" si="152">+AH130-BE130</f>
        <v>0</v>
      </c>
      <c r="CB130" s="1008">
        <f t="shared" si="152"/>
        <v>0</v>
      </c>
      <c r="CC130" s="1008">
        <f t="shared" si="152"/>
        <v>0</v>
      </c>
      <c r="CD130" s="1008">
        <f t="shared" si="152"/>
        <v>0</v>
      </c>
      <c r="CE130" s="1008">
        <f t="shared" si="152"/>
        <v>0</v>
      </c>
      <c r="CF130" s="1008">
        <f t="shared" si="152"/>
        <v>0</v>
      </c>
      <c r="CG130" s="1008">
        <f t="shared" si="152"/>
        <v>0</v>
      </c>
      <c r="CH130" s="1008">
        <f t="shared" si="152"/>
        <v>0</v>
      </c>
      <c r="CI130" s="1008">
        <f t="shared" si="152"/>
        <v>0</v>
      </c>
      <c r="CJ130" s="1008"/>
      <c r="CK130" s="1008"/>
      <c r="CL130" s="1008">
        <f t="shared" ref="CL130:CL150" si="153">+AS130-BP130</f>
        <v>0</v>
      </c>
      <c r="CM130" s="1011">
        <f t="shared" si="113"/>
        <v>1</v>
      </c>
      <c r="CN130" s="1008">
        <f t="shared" ref="CN130:CN161" si="154">SUM(CO130:DH130)</f>
        <v>3000000</v>
      </c>
      <c r="CO130" s="1008"/>
      <c r="CP130" s="1008"/>
      <c r="CQ130" s="1008"/>
      <c r="CR130" s="1008"/>
      <c r="CS130" s="1008"/>
      <c r="CT130" s="1008">
        <f>+'[10]MARZO 2015'!$H$1117</f>
        <v>3000000</v>
      </c>
      <c r="CU130" s="1008"/>
      <c r="CV130" s="1008"/>
      <c r="CW130" s="1008"/>
      <c r="CX130" s="1008"/>
      <c r="CY130" s="1008"/>
      <c r="CZ130" s="1008"/>
      <c r="DA130" s="1008"/>
      <c r="DB130" s="1008"/>
      <c r="DC130" s="1008"/>
      <c r="DD130" s="1008"/>
      <c r="DE130" s="1008"/>
      <c r="DF130" s="1008"/>
      <c r="DG130" s="1008"/>
      <c r="DH130" s="1008"/>
      <c r="DI130" s="1011">
        <f t="shared" si="115"/>
        <v>0</v>
      </c>
      <c r="DJ130" s="1008">
        <f t="shared" ref="DJ130:DJ161" si="155">SUM(DK130:ED130)</f>
        <v>0</v>
      </c>
      <c r="DK130" s="1008"/>
      <c r="DL130" s="1008"/>
      <c r="DM130" s="1008"/>
      <c r="DN130" s="1008">
        <f t="shared" ref="DN130:DQ150" si="156">AC130-CR130</f>
        <v>0</v>
      </c>
      <c r="DO130" s="1008">
        <f t="shared" si="156"/>
        <v>0</v>
      </c>
      <c r="DP130" s="1008">
        <f t="shared" si="156"/>
        <v>0</v>
      </c>
      <c r="DQ130" s="1008">
        <f t="shared" si="156"/>
        <v>0</v>
      </c>
      <c r="DR130" s="1008"/>
      <c r="DS130" s="1008">
        <f t="shared" ref="DS130:DT150" si="157">+AH130-CW130</f>
        <v>0</v>
      </c>
      <c r="DT130" s="1008">
        <f t="shared" si="157"/>
        <v>0</v>
      </c>
      <c r="DU130" s="1008"/>
      <c r="DV130" s="1008">
        <f t="shared" ref="DV130:DX150" si="158">AK130-CZ130</f>
        <v>0</v>
      </c>
      <c r="DW130" s="1008">
        <f t="shared" si="158"/>
        <v>0</v>
      </c>
      <c r="DX130" s="1008">
        <f t="shared" si="158"/>
        <v>0</v>
      </c>
      <c r="DY130" s="1008">
        <f t="shared" ref="DY130:EB150" si="159">+AN130-DC130</f>
        <v>0</v>
      </c>
      <c r="DZ130" s="1008">
        <f t="shared" si="159"/>
        <v>0</v>
      </c>
      <c r="EA130" s="1008">
        <f t="shared" si="159"/>
        <v>0</v>
      </c>
      <c r="EB130" s="1008">
        <f t="shared" si="159"/>
        <v>0</v>
      </c>
      <c r="EC130" s="1008"/>
      <c r="ED130" s="1008">
        <f t="shared" ref="ED130:ED150" si="160">+AS130-DH130</f>
        <v>0</v>
      </c>
    </row>
    <row r="131" spans="1:136" ht="81" customHeight="1" x14ac:dyDescent="0.25">
      <c r="A131" s="1560"/>
      <c r="B131" s="989"/>
      <c r="C131" s="1094" t="s">
        <v>4654</v>
      </c>
      <c r="D131" s="1019" t="s">
        <v>4652</v>
      </c>
      <c r="E131" s="995">
        <v>510</v>
      </c>
      <c r="F131" s="1097" t="s">
        <v>4548</v>
      </c>
      <c r="G131" s="1401"/>
      <c r="H131" s="1061">
        <f t="shared" si="143"/>
        <v>6828964</v>
      </c>
      <c r="I131" s="1061">
        <f t="shared" si="144"/>
        <v>171036</v>
      </c>
      <c r="J131" s="1097">
        <v>48124</v>
      </c>
      <c r="K131" s="1093">
        <v>73148</v>
      </c>
      <c r="L131" s="1093">
        <v>49086</v>
      </c>
      <c r="M131" s="1093">
        <v>98</v>
      </c>
      <c r="N131" s="1093">
        <v>30</v>
      </c>
      <c r="O131" s="1093">
        <v>29</v>
      </c>
      <c r="P131" s="1093">
        <v>98</v>
      </c>
      <c r="Q131" s="1093">
        <v>45</v>
      </c>
      <c r="R131" s="1093">
        <v>44</v>
      </c>
      <c r="S131" s="1097"/>
      <c r="T131" s="1097"/>
      <c r="U131" s="1097"/>
      <c r="V131" s="1097"/>
      <c r="W131" s="1097"/>
      <c r="X131" s="1097"/>
      <c r="Y131" s="1008">
        <f t="shared" si="145"/>
        <v>7000000</v>
      </c>
      <c r="Z131" s="1008"/>
      <c r="AA131" s="1008"/>
      <c r="AB131" s="1008"/>
      <c r="AC131" s="1008"/>
      <c r="AD131" s="1008"/>
      <c r="AE131" s="1008">
        <v>7000000</v>
      </c>
      <c r="AF131" s="1008"/>
      <c r="AG131" s="1008"/>
      <c r="AH131" s="1008"/>
      <c r="AI131" s="1008"/>
      <c r="AJ131" s="1008"/>
      <c r="AK131" s="1008"/>
      <c r="AL131" s="1008"/>
      <c r="AM131" s="1008"/>
      <c r="AN131" s="1008"/>
      <c r="AO131" s="1008"/>
      <c r="AP131" s="1008"/>
      <c r="AQ131" s="1008"/>
      <c r="AR131" s="1008"/>
      <c r="AS131" s="1008"/>
      <c r="AT131" s="984"/>
      <c r="AU131" s="1011">
        <f t="shared" si="103"/>
        <v>0.97557142857142853</v>
      </c>
      <c r="AV131" s="1008">
        <f t="shared" si="146"/>
        <v>6829000</v>
      </c>
      <c r="AW131" s="1008"/>
      <c r="AX131" s="1008"/>
      <c r="AY131" s="1008"/>
      <c r="AZ131" s="1008"/>
      <c r="BA131" s="1008"/>
      <c r="BB131" s="1008">
        <f>+'[10]MARZO 2015'!$N$1122</f>
        <v>6829000</v>
      </c>
      <c r="BC131" s="1008"/>
      <c r="BD131" s="1008"/>
      <c r="BE131" s="1008"/>
      <c r="BF131" s="1008"/>
      <c r="BG131" s="1008"/>
      <c r="BH131" s="1008"/>
      <c r="BI131" s="1008"/>
      <c r="BJ131" s="1008"/>
      <c r="BK131" s="1008"/>
      <c r="BL131" s="1008"/>
      <c r="BM131" s="1008"/>
      <c r="BN131" s="1008"/>
      <c r="BO131" s="1008"/>
      <c r="BP131" s="1008"/>
      <c r="BQ131" s="1011">
        <f t="shared" si="105"/>
        <v>2.4428571428571466E-2</v>
      </c>
      <c r="BR131" s="1008">
        <f t="shared" si="147"/>
        <v>171000</v>
      </c>
      <c r="BS131" s="1008">
        <f t="shared" si="148"/>
        <v>0</v>
      </c>
      <c r="BT131" s="1008">
        <f t="shared" si="149"/>
        <v>0</v>
      </c>
      <c r="BU131" s="1008"/>
      <c r="BV131" s="1008">
        <f t="shared" si="150"/>
        <v>0</v>
      </c>
      <c r="BW131" s="1008">
        <f t="shared" si="150"/>
        <v>0</v>
      </c>
      <c r="BX131" s="1008">
        <f t="shared" si="151"/>
        <v>171000</v>
      </c>
      <c r="BY131" s="1008">
        <f t="shared" si="151"/>
        <v>0</v>
      </c>
      <c r="BZ131" s="1008"/>
      <c r="CA131" s="1008">
        <f t="shared" si="152"/>
        <v>0</v>
      </c>
      <c r="CB131" s="1008">
        <f t="shared" si="152"/>
        <v>0</v>
      </c>
      <c r="CC131" s="1008">
        <f t="shared" si="152"/>
        <v>0</v>
      </c>
      <c r="CD131" s="1008">
        <f t="shared" si="152"/>
        <v>0</v>
      </c>
      <c r="CE131" s="1008">
        <f t="shared" si="152"/>
        <v>0</v>
      </c>
      <c r="CF131" s="1008">
        <f t="shared" si="152"/>
        <v>0</v>
      </c>
      <c r="CG131" s="1008">
        <f t="shared" si="152"/>
        <v>0</v>
      </c>
      <c r="CH131" s="1008">
        <f t="shared" si="152"/>
        <v>0</v>
      </c>
      <c r="CI131" s="1008">
        <f t="shared" si="152"/>
        <v>0</v>
      </c>
      <c r="CJ131" s="1008"/>
      <c r="CK131" s="1008"/>
      <c r="CL131" s="1008">
        <f t="shared" si="153"/>
        <v>0</v>
      </c>
      <c r="CM131" s="1011">
        <f t="shared" si="113"/>
        <v>0.97556628571428572</v>
      </c>
      <c r="CN131" s="1008">
        <f t="shared" si="154"/>
        <v>6828964</v>
      </c>
      <c r="CO131" s="1008"/>
      <c r="CP131" s="1008"/>
      <c r="CQ131" s="1008"/>
      <c r="CR131" s="1008"/>
      <c r="CS131" s="1008"/>
      <c r="CT131" s="1008">
        <f>+'[10]MARZO 2015'!$H$1120</f>
        <v>6828964</v>
      </c>
      <c r="CU131" s="1008"/>
      <c r="CV131" s="1008"/>
      <c r="CW131" s="1008"/>
      <c r="CX131" s="1008"/>
      <c r="CY131" s="1008"/>
      <c r="CZ131" s="1008"/>
      <c r="DA131" s="1008"/>
      <c r="DB131" s="1008"/>
      <c r="DC131" s="1008"/>
      <c r="DD131" s="1008"/>
      <c r="DE131" s="1008"/>
      <c r="DF131" s="1008"/>
      <c r="DG131" s="1008"/>
      <c r="DH131" s="1008"/>
      <c r="DI131" s="1011">
        <f t="shared" si="115"/>
        <v>2.4433714285714281E-2</v>
      </c>
      <c r="DJ131" s="1008">
        <f t="shared" si="155"/>
        <v>171036</v>
      </c>
      <c r="DK131" s="1008"/>
      <c r="DL131" s="1008"/>
      <c r="DM131" s="1008"/>
      <c r="DN131" s="1008">
        <f t="shared" si="156"/>
        <v>0</v>
      </c>
      <c r="DO131" s="1008">
        <f t="shared" si="156"/>
        <v>0</v>
      </c>
      <c r="DP131" s="1008">
        <f t="shared" si="156"/>
        <v>171036</v>
      </c>
      <c r="DQ131" s="1008">
        <f t="shared" si="156"/>
        <v>0</v>
      </c>
      <c r="DR131" s="1008"/>
      <c r="DS131" s="1008">
        <f t="shared" si="157"/>
        <v>0</v>
      </c>
      <c r="DT131" s="1008">
        <f t="shared" si="157"/>
        <v>0</v>
      </c>
      <c r="DU131" s="1008"/>
      <c r="DV131" s="1008">
        <f t="shared" si="158"/>
        <v>0</v>
      </c>
      <c r="DW131" s="1008">
        <f t="shared" si="158"/>
        <v>0</v>
      </c>
      <c r="DX131" s="1008">
        <f t="shared" si="158"/>
        <v>0</v>
      </c>
      <c r="DY131" s="1008">
        <f t="shared" si="159"/>
        <v>0</v>
      </c>
      <c r="DZ131" s="1008">
        <f t="shared" si="159"/>
        <v>0</v>
      </c>
      <c r="EA131" s="1008">
        <f t="shared" si="159"/>
        <v>0</v>
      </c>
      <c r="EB131" s="1008">
        <f t="shared" si="159"/>
        <v>0</v>
      </c>
      <c r="EC131" s="1008"/>
      <c r="ED131" s="1008">
        <f t="shared" si="160"/>
        <v>0</v>
      </c>
      <c r="EF131" s="1"/>
    </row>
    <row r="132" spans="1:136" ht="83.25" customHeight="1" x14ac:dyDescent="0.25">
      <c r="A132" s="1560"/>
      <c r="B132" s="989" t="s">
        <v>4449</v>
      </c>
      <c r="C132" s="852" t="s">
        <v>4485</v>
      </c>
      <c r="D132" s="1019" t="s">
        <v>4584</v>
      </c>
      <c r="E132" s="995">
        <v>111</v>
      </c>
      <c r="F132" s="1097" t="s">
        <v>4482</v>
      </c>
      <c r="G132" s="1399">
        <v>20073000000</v>
      </c>
      <c r="H132" s="1061">
        <f t="shared" si="143"/>
        <v>0</v>
      </c>
      <c r="I132" s="1061">
        <f t="shared" si="144"/>
        <v>600000000</v>
      </c>
      <c r="J132" s="1097">
        <v>32909</v>
      </c>
      <c r="K132" s="1093">
        <v>47093</v>
      </c>
      <c r="L132" s="1093">
        <v>34554</v>
      </c>
      <c r="M132" s="1093">
        <v>0</v>
      </c>
      <c r="N132" s="1093">
        <v>0</v>
      </c>
      <c r="O132" s="1093">
        <v>0</v>
      </c>
      <c r="P132" s="1093">
        <v>0</v>
      </c>
      <c r="Q132" s="1093">
        <v>0</v>
      </c>
      <c r="R132" s="1093">
        <v>0</v>
      </c>
      <c r="S132" s="1097"/>
      <c r="T132" s="1097"/>
      <c r="U132" s="1097"/>
      <c r="V132" s="1097"/>
      <c r="W132" s="1097"/>
      <c r="X132" s="1097"/>
      <c r="Y132" s="1008">
        <f t="shared" si="145"/>
        <v>600000000</v>
      </c>
      <c r="Z132" s="1008"/>
      <c r="AA132" s="1008"/>
      <c r="AB132" s="1008"/>
      <c r="AC132" s="1008">
        <f>1590000000+400000000-850705529-550000000</f>
        <v>589294471</v>
      </c>
      <c r="AD132" s="1008"/>
      <c r="AE132" s="1008">
        <f>5000000</f>
        <v>5000000</v>
      </c>
      <c r="AF132" s="1008"/>
      <c r="AG132" s="1008"/>
      <c r="AH132" s="1008"/>
      <c r="AI132" s="1008"/>
      <c r="AJ132" s="1008"/>
      <c r="AK132" s="1008"/>
      <c r="AL132" s="1008"/>
      <c r="AM132" s="1008"/>
      <c r="AN132" s="1008"/>
      <c r="AO132" s="1008">
        <f>55705529-50000000</f>
        <v>5705529</v>
      </c>
      <c r="AP132" s="1008"/>
      <c r="AQ132" s="1008"/>
      <c r="AR132" s="1008"/>
      <c r="AS132" s="1008"/>
      <c r="AT132" s="984"/>
      <c r="AU132" s="1011">
        <f t="shared" si="103"/>
        <v>0</v>
      </c>
      <c r="AV132" s="1008">
        <f t="shared" si="146"/>
        <v>0</v>
      </c>
      <c r="AW132" s="1008"/>
      <c r="AX132" s="1008"/>
      <c r="AY132" s="1008"/>
      <c r="AZ132" s="1008"/>
      <c r="BA132" s="1008"/>
      <c r="BB132" s="1008"/>
      <c r="BC132" s="1008"/>
      <c r="BD132" s="1008"/>
      <c r="BE132" s="1008"/>
      <c r="BF132" s="1008"/>
      <c r="BG132" s="1008"/>
      <c r="BH132" s="1008"/>
      <c r="BI132" s="1008"/>
      <c r="BJ132" s="1008"/>
      <c r="BK132" s="1008"/>
      <c r="BL132" s="1008"/>
      <c r="BM132" s="1008"/>
      <c r="BN132" s="1008"/>
      <c r="BO132" s="1008"/>
      <c r="BP132" s="1008"/>
      <c r="BQ132" s="1011">
        <f t="shared" si="105"/>
        <v>1</v>
      </c>
      <c r="BR132" s="1008">
        <f t="shared" si="147"/>
        <v>600000000</v>
      </c>
      <c r="BS132" s="1008">
        <f t="shared" si="148"/>
        <v>0</v>
      </c>
      <c r="BT132" s="1008">
        <f t="shared" si="149"/>
        <v>0</v>
      </c>
      <c r="BU132" s="1008"/>
      <c r="BV132" s="1008">
        <f t="shared" si="150"/>
        <v>589294471</v>
      </c>
      <c r="BW132" s="1008">
        <f t="shared" si="150"/>
        <v>0</v>
      </c>
      <c r="BX132" s="1008">
        <f t="shared" si="151"/>
        <v>5000000</v>
      </c>
      <c r="BY132" s="1008">
        <f t="shared" si="151"/>
        <v>0</v>
      </c>
      <c r="BZ132" s="1008"/>
      <c r="CA132" s="1008">
        <f t="shared" si="152"/>
        <v>0</v>
      </c>
      <c r="CB132" s="1008">
        <f t="shared" si="152"/>
        <v>0</v>
      </c>
      <c r="CC132" s="1008">
        <f t="shared" si="152"/>
        <v>0</v>
      </c>
      <c r="CD132" s="1008">
        <f t="shared" si="152"/>
        <v>0</v>
      </c>
      <c r="CE132" s="1008">
        <f t="shared" si="152"/>
        <v>0</v>
      </c>
      <c r="CF132" s="1008">
        <f t="shared" si="152"/>
        <v>0</v>
      </c>
      <c r="CG132" s="1008">
        <f t="shared" si="152"/>
        <v>0</v>
      </c>
      <c r="CH132" s="1008">
        <f t="shared" si="152"/>
        <v>5705529</v>
      </c>
      <c r="CI132" s="1008">
        <f t="shared" si="152"/>
        <v>0</v>
      </c>
      <c r="CJ132" s="1008"/>
      <c r="CK132" s="1008"/>
      <c r="CL132" s="1008">
        <f t="shared" si="153"/>
        <v>0</v>
      </c>
      <c r="CM132" s="1011">
        <f t="shared" si="113"/>
        <v>0</v>
      </c>
      <c r="CN132" s="1008">
        <f t="shared" si="154"/>
        <v>0</v>
      </c>
      <c r="CO132" s="1008"/>
      <c r="CP132" s="1008"/>
      <c r="CQ132" s="1008"/>
      <c r="CR132" s="1008"/>
      <c r="CS132" s="1008"/>
      <c r="CT132" s="1008"/>
      <c r="CU132" s="1008"/>
      <c r="CV132" s="1008"/>
      <c r="CW132" s="1008"/>
      <c r="CX132" s="1008"/>
      <c r="CY132" s="1008"/>
      <c r="CZ132" s="1008"/>
      <c r="DA132" s="1008"/>
      <c r="DB132" s="1008"/>
      <c r="DC132" s="1008"/>
      <c r="DD132" s="1008"/>
      <c r="DE132" s="1008"/>
      <c r="DF132" s="1008"/>
      <c r="DG132" s="1008"/>
      <c r="DH132" s="1008"/>
      <c r="DI132" s="1011">
        <f t="shared" si="115"/>
        <v>1</v>
      </c>
      <c r="DJ132" s="1008">
        <f t="shared" si="155"/>
        <v>600000000</v>
      </c>
      <c r="DK132" s="1008"/>
      <c r="DL132" s="1008"/>
      <c r="DM132" s="1008"/>
      <c r="DN132" s="1008">
        <f t="shared" si="156"/>
        <v>589294471</v>
      </c>
      <c r="DO132" s="1008">
        <f t="shared" si="156"/>
        <v>0</v>
      </c>
      <c r="DP132" s="1008">
        <f t="shared" si="156"/>
        <v>5000000</v>
      </c>
      <c r="DQ132" s="1008">
        <f t="shared" si="156"/>
        <v>0</v>
      </c>
      <c r="DR132" s="1008"/>
      <c r="DS132" s="1008">
        <f t="shared" si="157"/>
        <v>0</v>
      </c>
      <c r="DT132" s="1008">
        <f t="shared" si="157"/>
        <v>0</v>
      </c>
      <c r="DU132" s="1008"/>
      <c r="DV132" s="1008">
        <f t="shared" si="158"/>
        <v>0</v>
      </c>
      <c r="DW132" s="1008">
        <f t="shared" si="158"/>
        <v>0</v>
      </c>
      <c r="DX132" s="1008">
        <f t="shared" si="158"/>
        <v>0</v>
      </c>
      <c r="DY132" s="1008">
        <f t="shared" si="159"/>
        <v>0</v>
      </c>
      <c r="DZ132" s="1008">
        <f t="shared" si="159"/>
        <v>5705529</v>
      </c>
      <c r="EA132" s="1008">
        <f t="shared" si="159"/>
        <v>0</v>
      </c>
      <c r="EB132" s="1008">
        <f t="shared" si="159"/>
        <v>0</v>
      </c>
      <c r="EC132" s="1008"/>
      <c r="ED132" s="1008">
        <f t="shared" si="160"/>
        <v>0</v>
      </c>
    </row>
    <row r="133" spans="1:136" s="203" customFormat="1" ht="36" customHeight="1" x14ac:dyDescent="0.25">
      <c r="A133" s="1560"/>
      <c r="B133" s="989"/>
      <c r="C133" s="1081" t="s">
        <v>4486</v>
      </c>
      <c r="D133" s="1019" t="s">
        <v>4469</v>
      </c>
      <c r="E133" s="997">
        <v>111</v>
      </c>
      <c r="F133" s="1097" t="s">
        <v>4482</v>
      </c>
      <c r="G133" s="1400"/>
      <c r="H133" s="1061">
        <f t="shared" si="143"/>
        <v>0</v>
      </c>
      <c r="I133" s="1061">
        <f t="shared" si="144"/>
        <v>830000000</v>
      </c>
      <c r="J133" s="1097">
        <v>42349</v>
      </c>
      <c r="K133" s="1093">
        <v>50522</v>
      </c>
      <c r="L133" s="1093">
        <v>43238</v>
      </c>
      <c r="M133" s="1075">
        <v>0</v>
      </c>
      <c r="N133" s="1075">
        <v>0</v>
      </c>
      <c r="O133" s="1075">
        <v>0</v>
      </c>
      <c r="P133" s="1075"/>
      <c r="Q133" s="1075"/>
      <c r="R133" s="1075"/>
      <c r="S133" s="1097"/>
      <c r="T133" s="1097"/>
      <c r="U133" s="1097"/>
      <c r="V133" s="1097"/>
      <c r="W133" s="1097"/>
      <c r="X133" s="1097"/>
      <c r="Y133" s="1067">
        <f t="shared" si="145"/>
        <v>830000000</v>
      </c>
      <c r="Z133" s="1067"/>
      <c r="AA133" s="1067"/>
      <c r="AB133" s="1067"/>
      <c r="AC133" s="1067">
        <v>830000000</v>
      </c>
      <c r="AD133" s="1067"/>
      <c r="AE133" s="1067"/>
      <c r="AF133" s="1067"/>
      <c r="AG133" s="1067"/>
      <c r="AH133" s="1067"/>
      <c r="AI133" s="1067"/>
      <c r="AJ133" s="1067"/>
      <c r="AK133" s="1067"/>
      <c r="AL133" s="1067"/>
      <c r="AM133" s="1067"/>
      <c r="AN133" s="1067"/>
      <c r="AO133" s="1067"/>
      <c r="AP133" s="1067"/>
      <c r="AQ133" s="1067"/>
      <c r="AR133" s="1067"/>
      <c r="AS133" s="1067"/>
      <c r="AT133" s="1089"/>
      <c r="AU133" s="1082">
        <f t="shared" si="103"/>
        <v>0.93501395783132535</v>
      </c>
      <c r="AV133" s="1067">
        <f t="shared" si="146"/>
        <v>776061585</v>
      </c>
      <c r="AW133" s="1067"/>
      <c r="AX133" s="1067"/>
      <c r="AY133" s="1067"/>
      <c r="AZ133" s="1067">
        <f>+'[18]OCTUBRE 2015'!$M$24</f>
        <v>776061585</v>
      </c>
      <c r="BA133" s="1067"/>
      <c r="BB133" s="1067"/>
      <c r="BC133" s="1067"/>
      <c r="BD133" s="1067"/>
      <c r="BE133" s="1067"/>
      <c r="BF133" s="1067"/>
      <c r="BG133" s="1067"/>
      <c r="BH133" s="1067"/>
      <c r="BI133" s="1067"/>
      <c r="BJ133" s="1067"/>
      <c r="BK133" s="1067"/>
      <c r="BL133" s="1067"/>
      <c r="BM133" s="1067"/>
      <c r="BN133" s="1067"/>
      <c r="BO133" s="1067"/>
      <c r="BP133" s="1067"/>
      <c r="BQ133" s="1082">
        <f t="shared" si="105"/>
        <v>6.4986042168674651E-2</v>
      </c>
      <c r="BR133" s="1067">
        <f t="shared" si="147"/>
        <v>53938415</v>
      </c>
      <c r="BS133" s="1067">
        <f t="shared" si="148"/>
        <v>0</v>
      </c>
      <c r="BT133" s="1067">
        <f t="shared" si="149"/>
        <v>0</v>
      </c>
      <c r="BU133" s="1067"/>
      <c r="BV133" s="1067">
        <f t="shared" si="150"/>
        <v>53938415</v>
      </c>
      <c r="BW133" s="1067">
        <f t="shared" si="150"/>
        <v>0</v>
      </c>
      <c r="BX133" s="1067">
        <f t="shared" si="151"/>
        <v>0</v>
      </c>
      <c r="BY133" s="1067">
        <f t="shared" si="151"/>
        <v>0</v>
      </c>
      <c r="BZ133" s="1067"/>
      <c r="CA133" s="1067">
        <f t="shared" si="152"/>
        <v>0</v>
      </c>
      <c r="CB133" s="1067">
        <f t="shared" si="152"/>
        <v>0</v>
      </c>
      <c r="CC133" s="1067">
        <f t="shared" si="152"/>
        <v>0</v>
      </c>
      <c r="CD133" s="1067">
        <f t="shared" si="152"/>
        <v>0</v>
      </c>
      <c r="CE133" s="1067">
        <f t="shared" si="152"/>
        <v>0</v>
      </c>
      <c r="CF133" s="1067">
        <f t="shared" si="152"/>
        <v>0</v>
      </c>
      <c r="CG133" s="1067">
        <f t="shared" si="152"/>
        <v>0</v>
      </c>
      <c r="CH133" s="1067">
        <f t="shared" si="152"/>
        <v>0</v>
      </c>
      <c r="CI133" s="1067">
        <f t="shared" si="152"/>
        <v>0</v>
      </c>
      <c r="CJ133" s="1067"/>
      <c r="CK133" s="1067"/>
      <c r="CL133" s="1067">
        <f t="shared" si="153"/>
        <v>0</v>
      </c>
      <c r="CM133" s="1082">
        <f t="shared" si="113"/>
        <v>0</v>
      </c>
      <c r="CN133" s="1067">
        <f t="shared" si="154"/>
        <v>0</v>
      </c>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82">
        <f t="shared" si="115"/>
        <v>1</v>
      </c>
      <c r="DJ133" s="1067">
        <f t="shared" si="155"/>
        <v>830000000</v>
      </c>
      <c r="DK133" s="1067"/>
      <c r="DL133" s="1067"/>
      <c r="DM133" s="1067"/>
      <c r="DN133" s="1067">
        <f t="shared" si="156"/>
        <v>830000000</v>
      </c>
      <c r="DO133" s="1067">
        <f t="shared" si="156"/>
        <v>0</v>
      </c>
      <c r="DP133" s="1067">
        <f t="shared" si="156"/>
        <v>0</v>
      </c>
      <c r="DQ133" s="1067">
        <f t="shared" si="156"/>
        <v>0</v>
      </c>
      <c r="DR133" s="1067"/>
      <c r="DS133" s="1067">
        <f t="shared" si="157"/>
        <v>0</v>
      </c>
      <c r="DT133" s="1067">
        <f t="shared" si="157"/>
        <v>0</v>
      </c>
      <c r="DU133" s="1067"/>
      <c r="DV133" s="1067">
        <f t="shared" si="158"/>
        <v>0</v>
      </c>
      <c r="DW133" s="1067">
        <f t="shared" si="158"/>
        <v>0</v>
      </c>
      <c r="DX133" s="1067">
        <f t="shared" si="158"/>
        <v>0</v>
      </c>
      <c r="DY133" s="1067">
        <f t="shared" si="159"/>
        <v>0</v>
      </c>
      <c r="DZ133" s="1067">
        <f t="shared" si="159"/>
        <v>0</v>
      </c>
      <c r="EA133" s="1067">
        <f t="shared" si="159"/>
        <v>0</v>
      </c>
      <c r="EB133" s="1067">
        <f t="shared" si="159"/>
        <v>0</v>
      </c>
      <c r="EC133" s="1067"/>
      <c r="ED133" s="1067">
        <f t="shared" si="160"/>
        <v>0</v>
      </c>
    </row>
    <row r="134" spans="1:136" ht="37.5" customHeight="1" x14ac:dyDescent="0.25">
      <c r="A134" s="1560"/>
      <c r="B134" s="989"/>
      <c r="C134" s="852" t="s">
        <v>4487</v>
      </c>
      <c r="D134" s="1019" t="s">
        <v>4470</v>
      </c>
      <c r="E134" s="995">
        <v>111</v>
      </c>
      <c r="F134" s="1097" t="s">
        <v>4482</v>
      </c>
      <c r="G134" s="1400"/>
      <c r="H134" s="1061">
        <f t="shared" si="143"/>
        <v>349660736</v>
      </c>
      <c r="I134" s="1061">
        <f t="shared" si="144"/>
        <v>339264</v>
      </c>
      <c r="J134" s="1097">
        <v>28874</v>
      </c>
      <c r="K134" s="1093">
        <v>48220</v>
      </c>
      <c r="L134" s="1093">
        <v>31184</v>
      </c>
      <c r="M134" s="1093">
        <v>0</v>
      </c>
      <c r="N134" s="1093">
        <v>0</v>
      </c>
      <c r="O134" s="1093">
        <v>0</v>
      </c>
      <c r="P134" s="1093">
        <v>0</v>
      </c>
      <c r="Q134" s="1093"/>
      <c r="R134" s="1093">
        <v>0</v>
      </c>
      <c r="S134" s="1097"/>
      <c r="T134" s="1097"/>
      <c r="U134" s="1097"/>
      <c r="V134" s="1097"/>
      <c r="W134" s="1097"/>
      <c r="X134" s="1097"/>
      <c r="Y134" s="1008">
        <f t="shared" si="145"/>
        <v>350000000</v>
      </c>
      <c r="Z134" s="1008"/>
      <c r="AA134" s="1008"/>
      <c r="AB134" s="1008"/>
      <c r="AC134" s="1008">
        <f>212000000+103000000+12000000</f>
        <v>327000000</v>
      </c>
      <c r="AD134" s="1008"/>
      <c r="AE134" s="1008"/>
      <c r="AF134" s="1008"/>
      <c r="AG134" s="1008"/>
      <c r="AH134" s="1008"/>
      <c r="AI134" s="1008"/>
      <c r="AJ134" s="1008"/>
      <c r="AK134" s="1008"/>
      <c r="AL134" s="1008"/>
      <c r="AM134" s="1008"/>
      <c r="AN134" s="1008"/>
      <c r="AO134" s="1008">
        <v>23000000</v>
      </c>
      <c r="AP134" s="1008"/>
      <c r="AQ134" s="1008"/>
      <c r="AR134" s="1008"/>
      <c r="AS134" s="1008"/>
      <c r="AT134" s="984"/>
      <c r="AU134" s="1011">
        <f t="shared" si="103"/>
        <v>0.99903067428571424</v>
      </c>
      <c r="AV134" s="1008">
        <f t="shared" si="146"/>
        <v>349660736</v>
      </c>
      <c r="AW134" s="1008"/>
      <c r="AX134" s="1008"/>
      <c r="AY134" s="1008"/>
      <c r="AZ134" s="1008">
        <f>+'[18]OCTUBRE 2015'!$M$28</f>
        <v>326999042</v>
      </c>
      <c r="BA134" s="1008"/>
      <c r="BB134" s="1008"/>
      <c r="BC134" s="1008"/>
      <c r="BD134" s="1008"/>
      <c r="BE134" s="1008"/>
      <c r="BF134" s="1008"/>
      <c r="BG134" s="1008"/>
      <c r="BH134" s="1008"/>
      <c r="BI134" s="1008"/>
      <c r="BJ134" s="1008"/>
      <c r="BK134" s="1008"/>
      <c r="BL134" s="1008">
        <f>+'[17]SEPTIEMBRE 2015'!$Y$28</f>
        <v>22661694</v>
      </c>
      <c r="BM134" s="1008"/>
      <c r="BN134" s="1008"/>
      <c r="BO134" s="1008"/>
      <c r="BP134" s="1008"/>
      <c r="BQ134" s="1011">
        <f t="shared" si="105"/>
        <v>9.6932571428576253E-4</v>
      </c>
      <c r="BR134" s="1008">
        <f t="shared" si="147"/>
        <v>339264</v>
      </c>
      <c r="BS134" s="1008">
        <f t="shared" si="148"/>
        <v>0</v>
      </c>
      <c r="BT134" s="1008">
        <f t="shared" si="149"/>
        <v>0</v>
      </c>
      <c r="BU134" s="1008"/>
      <c r="BV134" s="1008">
        <f t="shared" si="150"/>
        <v>958</v>
      </c>
      <c r="BW134" s="1008">
        <f t="shared" si="150"/>
        <v>0</v>
      </c>
      <c r="BX134" s="1008">
        <f t="shared" si="151"/>
        <v>0</v>
      </c>
      <c r="BY134" s="1008">
        <f t="shared" si="151"/>
        <v>0</v>
      </c>
      <c r="BZ134" s="1008"/>
      <c r="CA134" s="1008">
        <f t="shared" si="152"/>
        <v>0</v>
      </c>
      <c r="CB134" s="1008">
        <f t="shared" si="152"/>
        <v>0</v>
      </c>
      <c r="CC134" s="1008">
        <f t="shared" si="152"/>
        <v>0</v>
      </c>
      <c r="CD134" s="1008">
        <f t="shared" si="152"/>
        <v>0</v>
      </c>
      <c r="CE134" s="1008">
        <f t="shared" si="152"/>
        <v>0</v>
      </c>
      <c r="CF134" s="1008">
        <f t="shared" si="152"/>
        <v>0</v>
      </c>
      <c r="CG134" s="1008">
        <f t="shared" si="152"/>
        <v>0</v>
      </c>
      <c r="CH134" s="1008">
        <f t="shared" si="152"/>
        <v>338306</v>
      </c>
      <c r="CI134" s="1008">
        <f t="shared" si="152"/>
        <v>0</v>
      </c>
      <c r="CJ134" s="1008"/>
      <c r="CK134" s="1008"/>
      <c r="CL134" s="1008">
        <f t="shared" si="153"/>
        <v>0</v>
      </c>
      <c r="CM134" s="1011">
        <f t="shared" si="113"/>
        <v>0.99903067428571424</v>
      </c>
      <c r="CN134" s="1008">
        <f t="shared" si="154"/>
        <v>349660736</v>
      </c>
      <c r="CO134" s="1008"/>
      <c r="CP134" s="1008"/>
      <c r="CQ134" s="1008"/>
      <c r="CR134" s="1008">
        <f>+'[18]OCTUBRE 2015'!$H$29+'[18]OCTUBRE 2015'!$H$31</f>
        <v>326999042</v>
      </c>
      <c r="CS134" s="1008"/>
      <c r="CT134" s="1008"/>
      <c r="CU134" s="1008"/>
      <c r="CV134" s="1008"/>
      <c r="CW134" s="1008"/>
      <c r="CX134" s="1008"/>
      <c r="CY134" s="1008"/>
      <c r="CZ134" s="1008"/>
      <c r="DA134" s="1008"/>
      <c r="DB134" s="1008"/>
      <c r="DC134" s="1008"/>
      <c r="DD134" s="1008">
        <f>+'[17]SEPTIEMBRE 2015'!$H$33</f>
        <v>22661694</v>
      </c>
      <c r="DE134" s="1008"/>
      <c r="DF134" s="1008"/>
      <c r="DG134" s="1008"/>
      <c r="DH134" s="1008"/>
      <c r="DI134" s="1011">
        <f t="shared" si="115"/>
        <v>9.6932571428576253E-4</v>
      </c>
      <c r="DJ134" s="1008">
        <f t="shared" si="155"/>
        <v>339264</v>
      </c>
      <c r="DK134" s="1008"/>
      <c r="DL134" s="1008"/>
      <c r="DM134" s="1008"/>
      <c r="DN134" s="1008">
        <f t="shared" si="156"/>
        <v>958</v>
      </c>
      <c r="DO134" s="1008">
        <f t="shared" si="156"/>
        <v>0</v>
      </c>
      <c r="DP134" s="1008">
        <f t="shared" si="156"/>
        <v>0</v>
      </c>
      <c r="DQ134" s="1008">
        <f t="shared" si="156"/>
        <v>0</v>
      </c>
      <c r="DR134" s="1008"/>
      <c r="DS134" s="1008">
        <f t="shared" si="157"/>
        <v>0</v>
      </c>
      <c r="DT134" s="1008">
        <f t="shared" si="157"/>
        <v>0</v>
      </c>
      <c r="DU134" s="1008"/>
      <c r="DV134" s="1008">
        <f t="shared" si="158"/>
        <v>0</v>
      </c>
      <c r="DW134" s="1008">
        <f t="shared" si="158"/>
        <v>0</v>
      </c>
      <c r="DX134" s="1008">
        <f t="shared" si="158"/>
        <v>0</v>
      </c>
      <c r="DY134" s="1008">
        <f t="shared" si="159"/>
        <v>0</v>
      </c>
      <c r="DZ134" s="1008">
        <f t="shared" si="159"/>
        <v>338306</v>
      </c>
      <c r="EA134" s="1008">
        <f t="shared" si="159"/>
        <v>0</v>
      </c>
      <c r="EB134" s="1008">
        <f t="shared" si="159"/>
        <v>0</v>
      </c>
      <c r="EC134" s="1008"/>
      <c r="ED134" s="1008">
        <f t="shared" si="160"/>
        <v>0</v>
      </c>
      <c r="EE134" s="1036"/>
    </row>
    <row r="135" spans="1:136" ht="33" customHeight="1" x14ac:dyDescent="0.25">
      <c r="A135" s="1560"/>
      <c r="B135" s="989"/>
      <c r="C135" s="852" t="s">
        <v>4488</v>
      </c>
      <c r="D135" s="1019" t="s">
        <v>4471</v>
      </c>
      <c r="E135" s="995">
        <v>111</v>
      </c>
      <c r="F135" s="1097" t="s">
        <v>4482</v>
      </c>
      <c r="G135" s="1400"/>
      <c r="H135" s="1061">
        <f t="shared" si="143"/>
        <v>598906128</v>
      </c>
      <c r="I135" s="1061">
        <f t="shared" si="144"/>
        <v>7460796</v>
      </c>
      <c r="J135" s="1097">
        <v>55000</v>
      </c>
      <c r="K135" s="1093">
        <v>85140</v>
      </c>
      <c r="L135" s="1093">
        <v>57970</v>
      </c>
      <c r="M135" s="1093">
        <v>41</v>
      </c>
      <c r="N135" s="1093">
        <v>25</v>
      </c>
      <c r="O135" s="1093">
        <v>10</v>
      </c>
      <c r="P135" s="1093">
        <v>97</v>
      </c>
      <c r="Q135" s="1093">
        <v>25</v>
      </c>
      <c r="R135" s="1093">
        <v>24</v>
      </c>
      <c r="S135" s="1097"/>
      <c r="T135" s="1097"/>
      <c r="U135" s="1097"/>
      <c r="V135" s="1097"/>
      <c r="W135" s="1097"/>
      <c r="X135" s="1097"/>
      <c r="Y135" s="1008">
        <f t="shared" si="145"/>
        <v>606366924</v>
      </c>
      <c r="Z135" s="1008"/>
      <c r="AA135" s="1008"/>
      <c r="AB135" s="1008"/>
      <c r="AC135" s="1008">
        <f>636000000+213203847-262848257</f>
        <v>586355590</v>
      </c>
      <c r="AD135" s="1008">
        <f>20011334</f>
        <v>20011334</v>
      </c>
      <c r="AE135" s="1008"/>
      <c r="AF135" s="1008"/>
      <c r="AG135" s="1008"/>
      <c r="AH135" s="1008"/>
      <c r="AI135" s="1008"/>
      <c r="AJ135" s="1008"/>
      <c r="AK135" s="1008"/>
      <c r="AL135" s="1008"/>
      <c r="AM135" s="1008"/>
      <c r="AN135" s="1008"/>
      <c r="AO135" s="1008"/>
      <c r="AP135" s="1008"/>
      <c r="AQ135" s="1008"/>
      <c r="AR135" s="1008"/>
      <c r="AS135" s="1008"/>
      <c r="AT135" s="984"/>
      <c r="AU135" s="1011">
        <f t="shared" si="103"/>
        <v>0.9958638146298362</v>
      </c>
      <c r="AV135" s="1008">
        <f t="shared" si="146"/>
        <v>603858878</v>
      </c>
      <c r="AW135" s="1008"/>
      <c r="AX135" s="1008"/>
      <c r="AY135" s="1008"/>
      <c r="AZ135" s="1008">
        <f>+'[17]SEPTIEMBRE 2015'!$M$38</f>
        <v>586355588</v>
      </c>
      <c r="BA135" s="1008">
        <f>+'[16]AGOSTO 2015'!$N$33</f>
        <v>17503290</v>
      </c>
      <c r="BB135" s="1008"/>
      <c r="BC135" s="1008"/>
      <c r="BD135" s="1008"/>
      <c r="BE135" s="1008"/>
      <c r="BF135" s="1008"/>
      <c r="BG135" s="1008"/>
      <c r="BH135" s="1008"/>
      <c r="BI135" s="1008"/>
      <c r="BJ135" s="1008"/>
      <c r="BK135" s="1008"/>
      <c r="BL135" s="1008"/>
      <c r="BM135" s="1008"/>
      <c r="BN135" s="1008"/>
      <c r="BO135" s="1008"/>
      <c r="BP135" s="1008"/>
      <c r="BQ135" s="1011">
        <f t="shared" si="105"/>
        <v>4.1361853701638029E-3</v>
      </c>
      <c r="BR135" s="1008">
        <f t="shared" si="147"/>
        <v>2508046</v>
      </c>
      <c r="BS135" s="1008">
        <f t="shared" si="148"/>
        <v>0</v>
      </c>
      <c r="BT135" s="1008">
        <f t="shared" si="149"/>
        <v>0</v>
      </c>
      <c r="BU135" s="1008"/>
      <c r="BV135" s="1008">
        <f t="shared" si="150"/>
        <v>2</v>
      </c>
      <c r="BW135" s="1008">
        <f t="shared" si="150"/>
        <v>2508044</v>
      </c>
      <c r="BX135" s="1008">
        <f t="shared" si="151"/>
        <v>0</v>
      </c>
      <c r="BY135" s="1008">
        <f t="shared" si="151"/>
        <v>0</v>
      </c>
      <c r="BZ135" s="1008"/>
      <c r="CA135" s="1008">
        <f t="shared" si="152"/>
        <v>0</v>
      </c>
      <c r="CB135" s="1008">
        <f t="shared" si="152"/>
        <v>0</v>
      </c>
      <c r="CC135" s="1008">
        <f t="shared" si="152"/>
        <v>0</v>
      </c>
      <c r="CD135" s="1008">
        <f t="shared" si="152"/>
        <v>0</v>
      </c>
      <c r="CE135" s="1008">
        <f t="shared" si="152"/>
        <v>0</v>
      </c>
      <c r="CF135" s="1008">
        <f t="shared" si="152"/>
        <v>0</v>
      </c>
      <c r="CG135" s="1008">
        <f t="shared" si="152"/>
        <v>0</v>
      </c>
      <c r="CH135" s="1008">
        <f t="shared" si="152"/>
        <v>0</v>
      </c>
      <c r="CI135" s="1008">
        <f t="shared" si="152"/>
        <v>0</v>
      </c>
      <c r="CJ135" s="1008"/>
      <c r="CK135" s="1008"/>
      <c r="CL135" s="1008">
        <f t="shared" si="153"/>
        <v>0</v>
      </c>
      <c r="CM135" s="1011">
        <f t="shared" si="113"/>
        <v>0.98769590539209551</v>
      </c>
      <c r="CN135" s="1008">
        <f t="shared" si="154"/>
        <v>598906128</v>
      </c>
      <c r="CO135" s="1008"/>
      <c r="CP135" s="1008"/>
      <c r="CQ135" s="1008"/>
      <c r="CR135" s="1008">
        <f>+'[16]AGOSTO 2015'!$H$34+'[16]AGOSTO 2015'!$G$43</f>
        <v>586355588</v>
      </c>
      <c r="CS135" s="1008">
        <f>+'[16]AGOSTO 2015'!$H$45+'[16]AGOSTO 2015'!$H$47+'[16]AGOSTO 2015'!$H$50</f>
        <v>12550540</v>
      </c>
      <c r="CT135" s="1008"/>
      <c r="CU135" s="1008"/>
      <c r="CV135" s="1008"/>
      <c r="CW135" s="1008"/>
      <c r="CX135" s="1008"/>
      <c r="CY135" s="1008"/>
      <c r="CZ135" s="1008"/>
      <c r="DA135" s="1008"/>
      <c r="DB135" s="1008"/>
      <c r="DC135" s="1008"/>
      <c r="DD135" s="1008"/>
      <c r="DE135" s="1008"/>
      <c r="DF135" s="1008"/>
      <c r="DG135" s="1008"/>
      <c r="DH135" s="1008"/>
      <c r="DI135" s="1011">
        <f t="shared" si="115"/>
        <v>1.2304094607904492E-2</v>
      </c>
      <c r="DJ135" s="1008">
        <f t="shared" si="155"/>
        <v>7460796</v>
      </c>
      <c r="DK135" s="1008"/>
      <c r="DL135" s="1008"/>
      <c r="DM135" s="1008"/>
      <c r="DN135" s="1008">
        <f t="shared" si="156"/>
        <v>2</v>
      </c>
      <c r="DO135" s="1008">
        <f t="shared" si="156"/>
        <v>7460794</v>
      </c>
      <c r="DP135" s="1008">
        <f t="shared" si="156"/>
        <v>0</v>
      </c>
      <c r="DQ135" s="1008">
        <f t="shared" si="156"/>
        <v>0</v>
      </c>
      <c r="DR135" s="1008"/>
      <c r="DS135" s="1008">
        <f t="shared" si="157"/>
        <v>0</v>
      </c>
      <c r="DT135" s="1008">
        <f t="shared" si="157"/>
        <v>0</v>
      </c>
      <c r="DU135" s="1008"/>
      <c r="DV135" s="1008">
        <f t="shared" si="158"/>
        <v>0</v>
      </c>
      <c r="DW135" s="1008">
        <f t="shared" si="158"/>
        <v>0</v>
      </c>
      <c r="DX135" s="1008">
        <f t="shared" si="158"/>
        <v>0</v>
      </c>
      <c r="DY135" s="1008">
        <f t="shared" si="159"/>
        <v>0</v>
      </c>
      <c r="DZ135" s="1008">
        <f t="shared" si="159"/>
        <v>0</v>
      </c>
      <c r="EA135" s="1008">
        <f t="shared" si="159"/>
        <v>0</v>
      </c>
      <c r="EB135" s="1008">
        <f t="shared" si="159"/>
        <v>0</v>
      </c>
      <c r="EC135" s="1008"/>
      <c r="ED135" s="1008">
        <f t="shared" si="160"/>
        <v>0</v>
      </c>
    </row>
    <row r="136" spans="1:136" s="203" customFormat="1" ht="51" customHeight="1" x14ac:dyDescent="0.25">
      <c r="A136" s="1560"/>
      <c r="B136" s="989"/>
      <c r="C136" s="1081" t="s">
        <v>4489</v>
      </c>
      <c r="D136" s="1019" t="s">
        <v>4472</v>
      </c>
      <c r="E136" s="997">
        <v>111</v>
      </c>
      <c r="F136" s="1097" t="s">
        <v>4482</v>
      </c>
      <c r="G136" s="1400"/>
      <c r="H136" s="1061">
        <f t="shared" si="143"/>
        <v>0</v>
      </c>
      <c r="I136" s="1061">
        <f t="shared" si="144"/>
        <v>650000000</v>
      </c>
      <c r="J136" s="1097">
        <v>100</v>
      </c>
      <c r="K136" s="1093">
        <v>130</v>
      </c>
      <c r="L136" s="1093">
        <v>103</v>
      </c>
      <c r="M136" s="1075">
        <v>0</v>
      </c>
      <c r="N136" s="1075">
        <v>0</v>
      </c>
      <c r="O136" s="1075">
        <v>0</v>
      </c>
      <c r="P136" s="1075"/>
      <c r="Q136" s="1075"/>
      <c r="R136" s="1075"/>
      <c r="S136" s="1097"/>
      <c r="T136" s="1097"/>
      <c r="U136" s="1097"/>
      <c r="V136" s="1097"/>
      <c r="W136" s="1097"/>
      <c r="X136" s="1097"/>
      <c r="Y136" s="1067">
        <f t="shared" si="145"/>
        <v>650000000</v>
      </c>
      <c r="Z136" s="1067"/>
      <c r="AA136" s="1067"/>
      <c r="AB136" s="1067"/>
      <c r="AC136" s="1067">
        <f>290000000+70000000+290000000</f>
        <v>650000000</v>
      </c>
      <c r="AD136" s="1067"/>
      <c r="AE136" s="1067"/>
      <c r="AF136" s="1067"/>
      <c r="AG136" s="1067"/>
      <c r="AH136" s="1067"/>
      <c r="AI136" s="1067"/>
      <c r="AJ136" s="1067"/>
      <c r="AK136" s="1067"/>
      <c r="AL136" s="1067"/>
      <c r="AM136" s="1067"/>
      <c r="AN136" s="1067"/>
      <c r="AO136" s="1067"/>
      <c r="AP136" s="1067"/>
      <c r="AQ136" s="1067"/>
      <c r="AR136" s="1067"/>
      <c r="AS136" s="1067"/>
      <c r="AT136" s="1089"/>
      <c r="AU136" s="1082">
        <f t="shared" si="103"/>
        <v>0</v>
      </c>
      <c r="AV136" s="1067">
        <f t="shared" si="146"/>
        <v>0</v>
      </c>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82">
        <f t="shared" si="105"/>
        <v>1</v>
      </c>
      <c r="BR136" s="1067">
        <f t="shared" si="147"/>
        <v>650000000</v>
      </c>
      <c r="BS136" s="1067">
        <f t="shared" si="148"/>
        <v>0</v>
      </c>
      <c r="BT136" s="1067">
        <f t="shared" si="149"/>
        <v>0</v>
      </c>
      <c r="BU136" s="1067"/>
      <c r="BV136" s="1067">
        <f t="shared" si="150"/>
        <v>650000000</v>
      </c>
      <c r="BW136" s="1067">
        <f t="shared" si="150"/>
        <v>0</v>
      </c>
      <c r="BX136" s="1067">
        <f t="shared" si="151"/>
        <v>0</v>
      </c>
      <c r="BY136" s="1067">
        <f t="shared" si="151"/>
        <v>0</v>
      </c>
      <c r="BZ136" s="1067"/>
      <c r="CA136" s="1067">
        <f t="shared" si="152"/>
        <v>0</v>
      </c>
      <c r="CB136" s="1067">
        <f t="shared" si="152"/>
        <v>0</v>
      </c>
      <c r="CC136" s="1067">
        <f t="shared" si="152"/>
        <v>0</v>
      </c>
      <c r="CD136" s="1067">
        <f t="shared" si="152"/>
        <v>0</v>
      </c>
      <c r="CE136" s="1067">
        <f t="shared" si="152"/>
        <v>0</v>
      </c>
      <c r="CF136" s="1067">
        <f t="shared" si="152"/>
        <v>0</v>
      </c>
      <c r="CG136" s="1067">
        <f t="shared" si="152"/>
        <v>0</v>
      </c>
      <c r="CH136" s="1067">
        <f t="shared" si="152"/>
        <v>0</v>
      </c>
      <c r="CI136" s="1067">
        <f t="shared" si="152"/>
        <v>0</v>
      </c>
      <c r="CJ136" s="1067"/>
      <c r="CK136" s="1067"/>
      <c r="CL136" s="1067">
        <f t="shared" si="153"/>
        <v>0</v>
      </c>
      <c r="CM136" s="1082">
        <f t="shared" si="113"/>
        <v>0</v>
      </c>
      <c r="CN136" s="1067">
        <f t="shared" si="154"/>
        <v>0</v>
      </c>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82">
        <f t="shared" si="115"/>
        <v>1</v>
      </c>
      <c r="DJ136" s="1067">
        <f t="shared" si="155"/>
        <v>650000000</v>
      </c>
      <c r="DK136" s="1067"/>
      <c r="DL136" s="1067"/>
      <c r="DM136" s="1067"/>
      <c r="DN136" s="1067">
        <f t="shared" si="156"/>
        <v>650000000</v>
      </c>
      <c r="DO136" s="1067">
        <f t="shared" si="156"/>
        <v>0</v>
      </c>
      <c r="DP136" s="1067">
        <f t="shared" si="156"/>
        <v>0</v>
      </c>
      <c r="DQ136" s="1067">
        <f t="shared" si="156"/>
        <v>0</v>
      </c>
      <c r="DR136" s="1067"/>
      <c r="DS136" s="1067">
        <f t="shared" si="157"/>
        <v>0</v>
      </c>
      <c r="DT136" s="1067">
        <f t="shared" si="157"/>
        <v>0</v>
      </c>
      <c r="DU136" s="1067"/>
      <c r="DV136" s="1067">
        <f t="shared" si="158"/>
        <v>0</v>
      </c>
      <c r="DW136" s="1067">
        <f t="shared" si="158"/>
        <v>0</v>
      </c>
      <c r="DX136" s="1067">
        <f t="shared" si="158"/>
        <v>0</v>
      </c>
      <c r="DY136" s="1067">
        <f t="shared" si="159"/>
        <v>0</v>
      </c>
      <c r="DZ136" s="1067">
        <f t="shared" si="159"/>
        <v>0</v>
      </c>
      <c r="EA136" s="1067">
        <f t="shared" si="159"/>
        <v>0</v>
      </c>
      <c r="EB136" s="1067">
        <f t="shared" si="159"/>
        <v>0</v>
      </c>
      <c r="EC136" s="1067"/>
      <c r="ED136" s="1067">
        <f t="shared" si="160"/>
        <v>0</v>
      </c>
    </row>
    <row r="137" spans="1:136" ht="45.75" customHeight="1" x14ac:dyDescent="0.25">
      <c r="A137" s="1560"/>
      <c r="B137" s="989"/>
      <c r="C137" s="852" t="s">
        <v>4490</v>
      </c>
      <c r="D137" s="1019" t="s">
        <v>4473</v>
      </c>
      <c r="E137" s="995">
        <v>111</v>
      </c>
      <c r="F137" s="1097" t="s">
        <v>4482</v>
      </c>
      <c r="G137" s="1400"/>
      <c r="H137" s="1061">
        <f t="shared" si="143"/>
        <v>0</v>
      </c>
      <c r="I137" s="1061">
        <f t="shared" si="144"/>
        <v>938075763</v>
      </c>
      <c r="J137" s="1097">
        <v>1273</v>
      </c>
      <c r="K137" s="1093">
        <v>1832</v>
      </c>
      <c r="L137" s="1093">
        <v>1332</v>
      </c>
      <c r="M137" s="1093">
        <v>0</v>
      </c>
      <c r="N137" s="1093">
        <v>0</v>
      </c>
      <c r="O137" s="1093">
        <v>0</v>
      </c>
      <c r="P137" s="1093">
        <v>0</v>
      </c>
      <c r="Q137" s="1093">
        <v>0</v>
      </c>
      <c r="R137" s="1093">
        <v>0</v>
      </c>
      <c r="S137" s="1097"/>
      <c r="T137" s="1097"/>
      <c r="U137" s="1097"/>
      <c r="V137" s="1097"/>
      <c r="W137" s="1097"/>
      <c r="X137" s="1097"/>
      <c r="Y137" s="1008">
        <f t="shared" si="145"/>
        <v>938075763</v>
      </c>
      <c r="Z137" s="1008"/>
      <c r="AA137" s="1008"/>
      <c r="AB137" s="1008"/>
      <c r="AC137" s="1008">
        <f>699600000+99000000+80000000</f>
        <v>878600000</v>
      </c>
      <c r="AD137" s="1008"/>
      <c r="AE137" s="1008"/>
      <c r="AF137" s="1008"/>
      <c r="AG137" s="1008"/>
      <c r="AH137" s="1008"/>
      <c r="AI137" s="1008">
        <v>1940856</v>
      </c>
      <c r="AJ137" s="1008">
        <v>3438802</v>
      </c>
      <c r="AK137" s="1008">
        <v>54096105</v>
      </c>
      <c r="AL137" s="1008"/>
      <c r="AM137" s="1008"/>
      <c r="AN137" s="1008"/>
      <c r="AO137" s="1008"/>
      <c r="AP137" s="1008"/>
      <c r="AQ137" s="1008"/>
      <c r="AR137" s="1008"/>
      <c r="AS137" s="1008"/>
      <c r="AT137" s="984"/>
      <c r="AU137" s="1011">
        <f t="shared" si="103"/>
        <v>0.95577229085706583</v>
      </c>
      <c r="AV137" s="1008">
        <f t="shared" si="146"/>
        <v>896586821</v>
      </c>
      <c r="AW137" s="1008"/>
      <c r="AX137" s="1008"/>
      <c r="AY137" s="1008"/>
      <c r="AZ137" s="1008">
        <f>+'[18]OCTUBRE 2015'!$M$65</f>
        <v>878600000</v>
      </c>
      <c r="BA137" s="1008"/>
      <c r="BB137" s="1008"/>
      <c r="BC137" s="1008"/>
      <c r="BD137" s="1008"/>
      <c r="BE137" s="1008"/>
      <c r="BF137" s="1008"/>
      <c r="BG137" s="1008"/>
      <c r="BH137" s="1008">
        <f>+'[18]OCTUBRE 2015'!$U$65</f>
        <v>17986821</v>
      </c>
      <c r="BI137" s="1008"/>
      <c r="BJ137" s="1008"/>
      <c r="BK137" s="1008"/>
      <c r="BL137" s="1008"/>
      <c r="BM137" s="1008"/>
      <c r="BN137" s="1008"/>
      <c r="BO137" s="1008"/>
      <c r="BP137" s="1008"/>
      <c r="BQ137" s="1011">
        <f t="shared" si="105"/>
        <v>4.4227709142934168E-2</v>
      </c>
      <c r="BR137" s="1008">
        <f t="shared" si="147"/>
        <v>41488942</v>
      </c>
      <c r="BS137" s="1008">
        <f t="shared" si="148"/>
        <v>0</v>
      </c>
      <c r="BT137" s="1008">
        <f t="shared" si="149"/>
        <v>0</v>
      </c>
      <c r="BU137" s="1008"/>
      <c r="BV137" s="1008">
        <f t="shared" si="150"/>
        <v>0</v>
      </c>
      <c r="BW137" s="1008">
        <f t="shared" si="150"/>
        <v>0</v>
      </c>
      <c r="BX137" s="1008">
        <f t="shared" si="151"/>
        <v>0</v>
      </c>
      <c r="BY137" s="1008">
        <f t="shared" si="151"/>
        <v>0</v>
      </c>
      <c r="BZ137" s="1008"/>
      <c r="CA137" s="1008">
        <f t="shared" si="152"/>
        <v>0</v>
      </c>
      <c r="CB137" s="1008">
        <f t="shared" si="152"/>
        <v>1940856</v>
      </c>
      <c r="CC137" s="1008">
        <f t="shared" si="152"/>
        <v>3438802</v>
      </c>
      <c r="CD137" s="1008">
        <f t="shared" si="152"/>
        <v>36109284</v>
      </c>
      <c r="CE137" s="1008">
        <f t="shared" si="152"/>
        <v>0</v>
      </c>
      <c r="CF137" s="1008">
        <f t="shared" si="152"/>
        <v>0</v>
      </c>
      <c r="CG137" s="1008">
        <f t="shared" si="152"/>
        <v>0</v>
      </c>
      <c r="CH137" s="1008">
        <f t="shared" si="152"/>
        <v>0</v>
      </c>
      <c r="CI137" s="1008">
        <f t="shared" si="152"/>
        <v>0</v>
      </c>
      <c r="CJ137" s="1008">
        <f>+AQ137-BN137</f>
        <v>0</v>
      </c>
      <c r="CK137" s="1008">
        <f>+AR137-BO137</f>
        <v>0</v>
      </c>
      <c r="CL137" s="1008">
        <f t="shared" si="153"/>
        <v>0</v>
      </c>
      <c r="CM137" s="1011">
        <f t="shared" si="113"/>
        <v>0</v>
      </c>
      <c r="CN137" s="1008">
        <f t="shared" si="154"/>
        <v>0</v>
      </c>
      <c r="CO137" s="1008"/>
      <c r="CP137" s="1008"/>
      <c r="CQ137" s="1008"/>
      <c r="CR137" s="1008"/>
      <c r="CS137" s="1008"/>
      <c r="CT137" s="1008"/>
      <c r="CU137" s="1008"/>
      <c r="CV137" s="1008"/>
      <c r="CW137" s="1008"/>
      <c r="CX137" s="1008"/>
      <c r="CY137" s="1008"/>
      <c r="CZ137" s="1008"/>
      <c r="DA137" s="1008"/>
      <c r="DB137" s="1008"/>
      <c r="DC137" s="1008"/>
      <c r="DD137" s="1008"/>
      <c r="DE137" s="1008"/>
      <c r="DF137" s="1008"/>
      <c r="DG137" s="1008"/>
      <c r="DH137" s="1008"/>
      <c r="DI137" s="1011">
        <f t="shared" si="115"/>
        <v>1</v>
      </c>
      <c r="DJ137" s="1008">
        <f t="shared" si="155"/>
        <v>938075763</v>
      </c>
      <c r="DK137" s="1008"/>
      <c r="DL137" s="1008"/>
      <c r="DM137" s="1008"/>
      <c r="DN137" s="1008">
        <f t="shared" si="156"/>
        <v>878600000</v>
      </c>
      <c r="DO137" s="1008">
        <f t="shared" si="156"/>
        <v>0</v>
      </c>
      <c r="DP137" s="1008">
        <f t="shared" si="156"/>
        <v>0</v>
      </c>
      <c r="DQ137" s="1008">
        <f t="shared" si="156"/>
        <v>0</v>
      </c>
      <c r="DR137" s="1008"/>
      <c r="DS137" s="1008">
        <f t="shared" si="157"/>
        <v>0</v>
      </c>
      <c r="DT137" s="1008">
        <f t="shared" si="157"/>
        <v>1940856</v>
      </c>
      <c r="DU137" s="1008">
        <f>+AJ137-CY137</f>
        <v>3438802</v>
      </c>
      <c r="DV137" s="1008">
        <f t="shared" si="158"/>
        <v>54096105</v>
      </c>
      <c r="DW137" s="1008">
        <f t="shared" si="158"/>
        <v>0</v>
      </c>
      <c r="DX137" s="1008">
        <f t="shared" si="158"/>
        <v>0</v>
      </c>
      <c r="DY137" s="1008">
        <f t="shared" si="159"/>
        <v>0</v>
      </c>
      <c r="DZ137" s="1008">
        <f t="shared" si="159"/>
        <v>0</v>
      </c>
      <c r="EA137" s="1008">
        <f t="shared" si="159"/>
        <v>0</v>
      </c>
      <c r="EB137" s="1008">
        <f t="shared" si="159"/>
        <v>0</v>
      </c>
      <c r="EC137" s="1008"/>
      <c r="ED137" s="1008">
        <f t="shared" si="160"/>
        <v>0</v>
      </c>
    </row>
    <row r="138" spans="1:136" ht="33.75" customHeight="1" x14ac:dyDescent="0.25">
      <c r="A138" s="1560"/>
      <c r="B138" s="989"/>
      <c r="C138" s="852" t="s">
        <v>4491</v>
      </c>
      <c r="D138" s="1019" t="s">
        <v>4474</v>
      </c>
      <c r="E138" s="995">
        <v>111</v>
      </c>
      <c r="F138" s="1097" t="s">
        <v>4482</v>
      </c>
      <c r="G138" s="1400"/>
      <c r="H138" s="1061">
        <f t="shared" si="143"/>
        <v>0</v>
      </c>
      <c r="I138" s="1061">
        <f t="shared" si="144"/>
        <v>233200000</v>
      </c>
      <c r="J138" s="1097">
        <v>60</v>
      </c>
      <c r="K138" s="1093">
        <v>80</v>
      </c>
      <c r="L138" s="1093">
        <v>62</v>
      </c>
      <c r="M138" s="1093">
        <v>0</v>
      </c>
      <c r="N138" s="1093">
        <v>0</v>
      </c>
      <c r="O138" s="1093">
        <v>0</v>
      </c>
      <c r="P138" s="1093">
        <v>0</v>
      </c>
      <c r="Q138" s="1093">
        <v>0</v>
      </c>
      <c r="R138" s="1093">
        <v>0</v>
      </c>
      <c r="S138" s="1097"/>
      <c r="T138" s="1097"/>
      <c r="U138" s="1097"/>
      <c r="V138" s="1097"/>
      <c r="W138" s="1097"/>
      <c r="X138" s="1097"/>
      <c r="Y138" s="1008">
        <f t="shared" si="145"/>
        <v>233200000</v>
      </c>
      <c r="Z138" s="1008"/>
      <c r="AA138" s="1008"/>
      <c r="AB138" s="1008"/>
      <c r="AC138" s="1008">
        <v>233200000</v>
      </c>
      <c r="AD138" s="1008"/>
      <c r="AE138" s="1008"/>
      <c r="AF138" s="1008"/>
      <c r="AG138" s="1008"/>
      <c r="AH138" s="1008"/>
      <c r="AI138" s="1008"/>
      <c r="AJ138" s="1008"/>
      <c r="AK138" s="1008"/>
      <c r="AL138" s="1008"/>
      <c r="AM138" s="1008"/>
      <c r="AN138" s="1008"/>
      <c r="AO138" s="1008"/>
      <c r="AP138" s="1008"/>
      <c r="AQ138" s="1008"/>
      <c r="AR138" s="1008"/>
      <c r="AS138" s="1008"/>
      <c r="AT138" s="984"/>
      <c r="AU138" s="1011">
        <f t="shared" si="103"/>
        <v>0.99745449828473409</v>
      </c>
      <c r="AV138" s="1008">
        <f t="shared" si="146"/>
        <v>232606389</v>
      </c>
      <c r="AW138" s="1008"/>
      <c r="AX138" s="1008"/>
      <c r="AY138" s="1008"/>
      <c r="AZ138" s="1008">
        <f>+'[18]OCTUBRE 2015'!$M$73</f>
        <v>232606389</v>
      </c>
      <c r="BA138" s="1008"/>
      <c r="BB138" s="1008"/>
      <c r="BC138" s="1008"/>
      <c r="BD138" s="1008"/>
      <c r="BE138" s="1008"/>
      <c r="BF138" s="1008"/>
      <c r="BG138" s="1008"/>
      <c r="BH138" s="1008"/>
      <c r="BI138" s="1008"/>
      <c r="BJ138" s="1008"/>
      <c r="BK138" s="1008"/>
      <c r="BL138" s="1008"/>
      <c r="BM138" s="1008"/>
      <c r="BN138" s="1008"/>
      <c r="BO138" s="1008"/>
      <c r="BP138" s="1008"/>
      <c r="BQ138" s="1011">
        <f t="shared" si="105"/>
        <v>2.5455017152659076E-3</v>
      </c>
      <c r="BR138" s="1008">
        <f t="shared" si="147"/>
        <v>593611</v>
      </c>
      <c r="BS138" s="1008">
        <f t="shared" si="148"/>
        <v>0</v>
      </c>
      <c r="BT138" s="1008">
        <f t="shared" si="149"/>
        <v>0</v>
      </c>
      <c r="BU138" s="1008"/>
      <c r="BV138" s="1008">
        <f t="shared" si="150"/>
        <v>593611</v>
      </c>
      <c r="BW138" s="1008">
        <f t="shared" si="150"/>
        <v>0</v>
      </c>
      <c r="BX138" s="1008">
        <f t="shared" si="151"/>
        <v>0</v>
      </c>
      <c r="BY138" s="1008">
        <f t="shared" si="151"/>
        <v>0</v>
      </c>
      <c r="BZ138" s="1008"/>
      <c r="CA138" s="1008">
        <f t="shared" si="152"/>
        <v>0</v>
      </c>
      <c r="CB138" s="1008">
        <f t="shared" si="152"/>
        <v>0</v>
      </c>
      <c r="CC138" s="1008">
        <f t="shared" si="152"/>
        <v>0</v>
      </c>
      <c r="CD138" s="1008">
        <f t="shared" si="152"/>
        <v>0</v>
      </c>
      <c r="CE138" s="1008">
        <f t="shared" si="152"/>
        <v>0</v>
      </c>
      <c r="CF138" s="1008">
        <f t="shared" si="152"/>
        <v>0</v>
      </c>
      <c r="CG138" s="1008">
        <f t="shared" si="152"/>
        <v>0</v>
      </c>
      <c r="CH138" s="1008">
        <f t="shared" si="152"/>
        <v>0</v>
      </c>
      <c r="CI138" s="1008">
        <f t="shared" si="152"/>
        <v>0</v>
      </c>
      <c r="CJ138" s="1008"/>
      <c r="CK138" s="1008">
        <f t="shared" ref="CK138:CK150" si="161">+AR138-BO138</f>
        <v>0</v>
      </c>
      <c r="CL138" s="1008">
        <f t="shared" si="153"/>
        <v>0</v>
      </c>
      <c r="CM138" s="1011">
        <f t="shared" si="113"/>
        <v>0</v>
      </c>
      <c r="CN138" s="1008">
        <f t="shared" si="154"/>
        <v>0</v>
      </c>
      <c r="CO138" s="1008"/>
      <c r="CP138" s="1008"/>
      <c r="CQ138" s="1008"/>
      <c r="CR138" s="1008"/>
      <c r="CS138" s="1008"/>
      <c r="CT138" s="1008"/>
      <c r="CU138" s="1008"/>
      <c r="CV138" s="1008"/>
      <c r="CW138" s="1008"/>
      <c r="CX138" s="1008"/>
      <c r="CY138" s="1008"/>
      <c r="CZ138" s="1008"/>
      <c r="DA138" s="1008"/>
      <c r="DB138" s="1008"/>
      <c r="DC138" s="1008"/>
      <c r="DD138" s="1008"/>
      <c r="DE138" s="1008"/>
      <c r="DF138" s="1008"/>
      <c r="DG138" s="1008"/>
      <c r="DH138" s="1008"/>
      <c r="DI138" s="1011">
        <f t="shared" si="115"/>
        <v>1</v>
      </c>
      <c r="DJ138" s="1008">
        <f t="shared" si="155"/>
        <v>233200000</v>
      </c>
      <c r="DK138" s="1008"/>
      <c r="DL138" s="1008"/>
      <c r="DM138" s="1008"/>
      <c r="DN138" s="1008">
        <f t="shared" si="156"/>
        <v>233200000</v>
      </c>
      <c r="DO138" s="1008">
        <f t="shared" si="156"/>
        <v>0</v>
      </c>
      <c r="DP138" s="1008">
        <f t="shared" si="156"/>
        <v>0</v>
      </c>
      <c r="DQ138" s="1008">
        <f t="shared" si="156"/>
        <v>0</v>
      </c>
      <c r="DR138" s="1008"/>
      <c r="DS138" s="1008">
        <f t="shared" si="157"/>
        <v>0</v>
      </c>
      <c r="DT138" s="1008">
        <f t="shared" si="157"/>
        <v>0</v>
      </c>
      <c r="DU138" s="1008">
        <f>+AJ138-CY138</f>
        <v>0</v>
      </c>
      <c r="DV138" s="1008">
        <f t="shared" si="158"/>
        <v>0</v>
      </c>
      <c r="DW138" s="1008">
        <f t="shared" si="158"/>
        <v>0</v>
      </c>
      <c r="DX138" s="1008">
        <f t="shared" si="158"/>
        <v>0</v>
      </c>
      <c r="DY138" s="1008">
        <f t="shared" si="159"/>
        <v>0</v>
      </c>
      <c r="DZ138" s="1008">
        <f t="shared" si="159"/>
        <v>0</v>
      </c>
      <c r="EA138" s="1008">
        <f t="shared" si="159"/>
        <v>0</v>
      </c>
      <c r="EB138" s="1008">
        <f t="shared" si="159"/>
        <v>0</v>
      </c>
      <c r="EC138" s="1008"/>
      <c r="ED138" s="1008">
        <f t="shared" si="160"/>
        <v>0</v>
      </c>
    </row>
    <row r="139" spans="1:136" ht="52.5" customHeight="1" x14ac:dyDescent="0.25">
      <c r="A139" s="1560"/>
      <c r="B139" s="989"/>
      <c r="C139" s="852" t="s">
        <v>4492</v>
      </c>
      <c r="D139" s="1019" t="s">
        <v>4475</v>
      </c>
      <c r="E139" s="995">
        <v>111</v>
      </c>
      <c r="F139" s="1097" t="s">
        <v>4482</v>
      </c>
      <c r="G139" s="1400"/>
      <c r="H139" s="1061">
        <f t="shared" si="143"/>
        <v>0</v>
      </c>
      <c r="I139" s="1061">
        <f t="shared" si="144"/>
        <v>300000000</v>
      </c>
      <c r="J139" s="1270">
        <v>206</v>
      </c>
      <c r="K139" s="1305">
        <v>448</v>
      </c>
      <c r="L139" s="1305">
        <v>230</v>
      </c>
      <c r="M139" s="1093">
        <v>0</v>
      </c>
      <c r="N139" s="1093">
        <v>0</v>
      </c>
      <c r="O139" s="1093">
        <v>0</v>
      </c>
      <c r="P139" s="1093">
        <v>0</v>
      </c>
      <c r="Q139" s="1093">
        <v>0</v>
      </c>
      <c r="R139" s="1093">
        <v>0</v>
      </c>
      <c r="S139" s="1097"/>
      <c r="T139" s="1097"/>
      <c r="U139" s="1097"/>
      <c r="V139" s="1097"/>
      <c r="W139" s="1097"/>
      <c r="X139" s="1097"/>
      <c r="Y139" s="1008">
        <f t="shared" si="145"/>
        <v>300000000</v>
      </c>
      <c r="Z139" s="1008"/>
      <c r="AA139" s="1008"/>
      <c r="AB139" s="1008"/>
      <c r="AC139" s="1008">
        <f>114715796+100000000-12000000</f>
        <v>202715796</v>
      </c>
      <c r="AD139" s="1008"/>
      <c r="AE139" s="1008"/>
      <c r="AF139" s="1008"/>
      <c r="AG139" s="1008"/>
      <c r="AH139" s="1008"/>
      <c r="AI139" s="1008"/>
      <c r="AJ139" s="1008"/>
      <c r="AK139" s="1008">
        <v>97284204</v>
      </c>
      <c r="AL139" s="1008"/>
      <c r="AM139" s="1008"/>
      <c r="AN139" s="1008"/>
      <c r="AO139" s="1008"/>
      <c r="AP139" s="1008"/>
      <c r="AQ139" s="1008"/>
      <c r="AR139" s="1008"/>
      <c r="AS139" s="1008"/>
      <c r="AT139" s="984"/>
      <c r="AU139" s="1011">
        <f t="shared" si="103"/>
        <v>0.97304108333333328</v>
      </c>
      <c r="AV139" s="1008">
        <f t="shared" si="146"/>
        <v>291912325</v>
      </c>
      <c r="AW139" s="1008"/>
      <c r="AX139" s="1008"/>
      <c r="AY139" s="1008"/>
      <c r="AZ139" s="1008">
        <f>+'[18]OCTUBRE 2015'!$M$79</f>
        <v>194628121</v>
      </c>
      <c r="BA139" s="1008"/>
      <c r="BB139" s="1008"/>
      <c r="BC139" s="1008"/>
      <c r="BD139" s="1008"/>
      <c r="BE139" s="1008"/>
      <c r="BF139" s="1008"/>
      <c r="BG139" s="1008"/>
      <c r="BH139" s="1008">
        <f>+'[18]OCTUBRE 2015'!$U$79</f>
        <v>97284204</v>
      </c>
      <c r="BI139" s="1008"/>
      <c r="BJ139" s="1008"/>
      <c r="BK139" s="1008"/>
      <c r="BL139" s="1008"/>
      <c r="BM139" s="1008"/>
      <c r="BN139" s="1008"/>
      <c r="BO139" s="1008"/>
      <c r="BP139" s="1008"/>
      <c r="BQ139" s="1011">
        <f t="shared" si="105"/>
        <v>2.6958916666666721E-2</v>
      </c>
      <c r="BR139" s="1008">
        <f t="shared" si="147"/>
        <v>8087675</v>
      </c>
      <c r="BS139" s="1008">
        <f t="shared" si="148"/>
        <v>0</v>
      </c>
      <c r="BT139" s="1008">
        <f t="shared" si="149"/>
        <v>0</v>
      </c>
      <c r="BU139" s="1008"/>
      <c r="BV139" s="1008">
        <f t="shared" si="150"/>
        <v>8087675</v>
      </c>
      <c r="BW139" s="1008">
        <f t="shared" si="150"/>
        <v>0</v>
      </c>
      <c r="BX139" s="1008">
        <f t="shared" si="151"/>
        <v>0</v>
      </c>
      <c r="BY139" s="1008">
        <f t="shared" si="151"/>
        <v>0</v>
      </c>
      <c r="BZ139" s="1008"/>
      <c r="CA139" s="1008">
        <f t="shared" si="152"/>
        <v>0</v>
      </c>
      <c r="CB139" s="1008">
        <f t="shared" si="152"/>
        <v>0</v>
      </c>
      <c r="CC139" s="1008">
        <f t="shared" si="152"/>
        <v>0</v>
      </c>
      <c r="CD139" s="1008">
        <f t="shared" si="152"/>
        <v>0</v>
      </c>
      <c r="CE139" s="1008">
        <f t="shared" si="152"/>
        <v>0</v>
      </c>
      <c r="CF139" s="1008">
        <f t="shared" si="152"/>
        <v>0</v>
      </c>
      <c r="CG139" s="1008">
        <f t="shared" si="152"/>
        <v>0</v>
      </c>
      <c r="CH139" s="1008">
        <f t="shared" si="152"/>
        <v>0</v>
      </c>
      <c r="CI139" s="1008">
        <f t="shared" si="152"/>
        <v>0</v>
      </c>
      <c r="CJ139" s="1008"/>
      <c r="CK139" s="1008">
        <f t="shared" si="161"/>
        <v>0</v>
      </c>
      <c r="CL139" s="1008">
        <f t="shared" si="153"/>
        <v>0</v>
      </c>
      <c r="CM139" s="1011">
        <f t="shared" si="113"/>
        <v>0</v>
      </c>
      <c r="CN139" s="1008">
        <f t="shared" si="154"/>
        <v>0</v>
      </c>
      <c r="CO139" s="1008"/>
      <c r="CP139" s="1008"/>
      <c r="CQ139" s="1008"/>
      <c r="CR139" s="1008"/>
      <c r="CS139" s="1008"/>
      <c r="CT139" s="1008"/>
      <c r="CU139" s="1008"/>
      <c r="CV139" s="1008"/>
      <c r="CW139" s="1008"/>
      <c r="CX139" s="1008"/>
      <c r="CY139" s="1008"/>
      <c r="CZ139" s="1008"/>
      <c r="DA139" s="1008"/>
      <c r="DB139" s="1008"/>
      <c r="DC139" s="1008"/>
      <c r="DD139" s="1008"/>
      <c r="DE139" s="1008"/>
      <c r="DF139" s="1008"/>
      <c r="DG139" s="1008"/>
      <c r="DH139" s="1008"/>
      <c r="DI139" s="1011">
        <f t="shared" si="115"/>
        <v>1</v>
      </c>
      <c r="DJ139" s="1008">
        <f t="shared" si="155"/>
        <v>300000000</v>
      </c>
      <c r="DK139" s="1008"/>
      <c r="DL139" s="1008"/>
      <c r="DM139" s="1008"/>
      <c r="DN139" s="1008">
        <f t="shared" si="156"/>
        <v>202715796</v>
      </c>
      <c r="DO139" s="1008">
        <f t="shared" si="156"/>
        <v>0</v>
      </c>
      <c r="DP139" s="1008">
        <f t="shared" si="156"/>
        <v>0</v>
      </c>
      <c r="DQ139" s="1008">
        <f t="shared" si="156"/>
        <v>0</v>
      </c>
      <c r="DR139" s="1008"/>
      <c r="DS139" s="1008">
        <f t="shared" si="157"/>
        <v>0</v>
      </c>
      <c r="DT139" s="1008">
        <f t="shared" si="157"/>
        <v>0</v>
      </c>
      <c r="DU139" s="1008"/>
      <c r="DV139" s="1008">
        <f t="shared" si="158"/>
        <v>97284204</v>
      </c>
      <c r="DW139" s="1008">
        <f t="shared" si="158"/>
        <v>0</v>
      </c>
      <c r="DX139" s="1008">
        <f t="shared" si="158"/>
        <v>0</v>
      </c>
      <c r="DY139" s="1008">
        <f t="shared" si="159"/>
        <v>0</v>
      </c>
      <c r="DZ139" s="1008">
        <f t="shared" si="159"/>
        <v>0</v>
      </c>
      <c r="EA139" s="1008">
        <f t="shared" si="159"/>
        <v>0</v>
      </c>
      <c r="EB139" s="1008">
        <f t="shared" si="159"/>
        <v>0</v>
      </c>
      <c r="EC139" s="1008"/>
      <c r="ED139" s="1008">
        <f t="shared" si="160"/>
        <v>0</v>
      </c>
      <c r="EE139" s="1036"/>
    </row>
    <row r="140" spans="1:136" ht="32.25" customHeight="1" x14ac:dyDescent="0.25">
      <c r="A140" s="1560"/>
      <c r="B140" s="989"/>
      <c r="C140" s="852" t="s">
        <v>4493</v>
      </c>
      <c r="D140" s="1019" t="s">
        <v>4476</v>
      </c>
      <c r="E140" s="995">
        <v>111</v>
      </c>
      <c r="F140" s="1097" t="s">
        <v>4482</v>
      </c>
      <c r="G140" s="1400"/>
      <c r="H140" s="1061">
        <f t="shared" si="143"/>
        <v>0</v>
      </c>
      <c r="I140" s="1061">
        <f t="shared" si="144"/>
        <v>35000000</v>
      </c>
      <c r="J140" s="1270"/>
      <c r="K140" s="1305"/>
      <c r="L140" s="1305"/>
      <c r="M140" s="1093">
        <v>0</v>
      </c>
      <c r="N140" s="1093">
        <v>0</v>
      </c>
      <c r="O140" s="1093">
        <v>0</v>
      </c>
      <c r="P140" s="1093">
        <v>0</v>
      </c>
      <c r="Q140" s="1093">
        <v>0</v>
      </c>
      <c r="R140" s="1093">
        <v>0</v>
      </c>
      <c r="S140" s="1097"/>
      <c r="T140" s="1097"/>
      <c r="U140" s="1097"/>
      <c r="V140" s="1097"/>
      <c r="W140" s="1097"/>
      <c r="X140" s="1097"/>
      <c r="Y140" s="1008">
        <f t="shared" si="145"/>
        <v>35000000</v>
      </c>
      <c r="Z140" s="1008"/>
      <c r="AA140" s="1008"/>
      <c r="AB140" s="1008"/>
      <c r="AC140" s="1008">
        <f>71000000-71000000</f>
        <v>0</v>
      </c>
      <c r="AD140" s="1008"/>
      <c r="AE140" s="1008"/>
      <c r="AF140" s="1008"/>
      <c r="AG140" s="1008"/>
      <c r="AH140" s="1008"/>
      <c r="AI140" s="1008"/>
      <c r="AJ140" s="1008"/>
      <c r="AK140" s="1008">
        <v>35000000</v>
      </c>
      <c r="AL140" s="1008"/>
      <c r="AM140" s="1008"/>
      <c r="AN140" s="1008"/>
      <c r="AO140" s="1008"/>
      <c r="AP140" s="1008"/>
      <c r="AQ140" s="1008"/>
      <c r="AR140" s="1008"/>
      <c r="AS140" s="1008"/>
      <c r="AT140" s="984"/>
      <c r="AU140" s="1011">
        <f t="shared" si="103"/>
        <v>0</v>
      </c>
      <c r="AV140" s="1008">
        <f t="shared" si="146"/>
        <v>0</v>
      </c>
      <c r="AW140" s="1008"/>
      <c r="AX140" s="1008"/>
      <c r="AY140" s="1008"/>
      <c r="AZ140" s="1008"/>
      <c r="BA140" s="1008"/>
      <c r="BB140" s="1008"/>
      <c r="BC140" s="1008"/>
      <c r="BD140" s="1008"/>
      <c r="BE140" s="1008"/>
      <c r="BF140" s="1008"/>
      <c r="BG140" s="1008"/>
      <c r="BH140" s="1008"/>
      <c r="BI140" s="1008"/>
      <c r="BJ140" s="1008"/>
      <c r="BK140" s="1008"/>
      <c r="BL140" s="1008"/>
      <c r="BM140" s="1008"/>
      <c r="BN140" s="1008"/>
      <c r="BO140" s="1008"/>
      <c r="BP140" s="1008"/>
      <c r="BQ140" s="1011">
        <f t="shared" si="105"/>
        <v>1</v>
      </c>
      <c r="BR140" s="1008">
        <f t="shared" si="147"/>
        <v>35000000</v>
      </c>
      <c r="BS140" s="1008">
        <f t="shared" si="148"/>
        <v>0</v>
      </c>
      <c r="BT140" s="1008">
        <f t="shared" si="149"/>
        <v>0</v>
      </c>
      <c r="BU140" s="1008"/>
      <c r="BV140" s="1008">
        <f t="shared" si="150"/>
        <v>0</v>
      </c>
      <c r="BW140" s="1008">
        <f t="shared" si="150"/>
        <v>0</v>
      </c>
      <c r="BX140" s="1008">
        <f t="shared" si="151"/>
        <v>0</v>
      </c>
      <c r="BY140" s="1008">
        <f t="shared" si="151"/>
        <v>0</v>
      </c>
      <c r="BZ140" s="1008"/>
      <c r="CA140" s="1008">
        <f t="shared" si="152"/>
        <v>0</v>
      </c>
      <c r="CB140" s="1008">
        <f t="shared" si="152"/>
        <v>0</v>
      </c>
      <c r="CC140" s="1008">
        <f t="shared" si="152"/>
        <v>0</v>
      </c>
      <c r="CD140" s="1008">
        <f t="shared" si="152"/>
        <v>35000000</v>
      </c>
      <c r="CE140" s="1008">
        <f t="shared" si="152"/>
        <v>0</v>
      </c>
      <c r="CF140" s="1008">
        <f t="shared" si="152"/>
        <v>0</v>
      </c>
      <c r="CG140" s="1008">
        <f t="shared" si="152"/>
        <v>0</v>
      </c>
      <c r="CH140" s="1008">
        <f t="shared" si="152"/>
        <v>0</v>
      </c>
      <c r="CI140" s="1008">
        <f t="shared" si="152"/>
        <v>0</v>
      </c>
      <c r="CJ140" s="1008"/>
      <c r="CK140" s="1008">
        <f t="shared" si="161"/>
        <v>0</v>
      </c>
      <c r="CL140" s="1008">
        <f t="shared" si="153"/>
        <v>0</v>
      </c>
      <c r="CM140" s="1011">
        <f t="shared" si="113"/>
        <v>0</v>
      </c>
      <c r="CN140" s="1008">
        <f t="shared" si="154"/>
        <v>0</v>
      </c>
      <c r="CO140" s="1008"/>
      <c r="CP140" s="1008"/>
      <c r="CQ140" s="1008"/>
      <c r="CR140" s="1008"/>
      <c r="CS140" s="1008"/>
      <c r="CT140" s="1008"/>
      <c r="CU140" s="1008"/>
      <c r="CV140" s="1008"/>
      <c r="CW140" s="1008"/>
      <c r="CX140" s="1008"/>
      <c r="CY140" s="1008"/>
      <c r="CZ140" s="1008"/>
      <c r="DA140" s="1008"/>
      <c r="DB140" s="1008"/>
      <c r="DC140" s="1008"/>
      <c r="DD140" s="1008"/>
      <c r="DE140" s="1008"/>
      <c r="DF140" s="1008"/>
      <c r="DG140" s="1008"/>
      <c r="DH140" s="1008"/>
      <c r="DI140" s="1011">
        <f t="shared" si="115"/>
        <v>1</v>
      </c>
      <c r="DJ140" s="1008">
        <f t="shared" si="155"/>
        <v>35000000</v>
      </c>
      <c r="DK140" s="1008"/>
      <c r="DL140" s="1008"/>
      <c r="DM140" s="1008"/>
      <c r="DN140" s="1008">
        <f t="shared" si="156"/>
        <v>0</v>
      </c>
      <c r="DO140" s="1008">
        <f t="shared" si="156"/>
        <v>0</v>
      </c>
      <c r="DP140" s="1008">
        <f t="shared" si="156"/>
        <v>0</v>
      </c>
      <c r="DQ140" s="1008">
        <f t="shared" si="156"/>
        <v>0</v>
      </c>
      <c r="DR140" s="1008"/>
      <c r="DS140" s="1008">
        <f t="shared" si="157"/>
        <v>0</v>
      </c>
      <c r="DT140" s="1008">
        <f t="shared" si="157"/>
        <v>0</v>
      </c>
      <c r="DU140" s="1008"/>
      <c r="DV140" s="1008">
        <f t="shared" si="158"/>
        <v>35000000</v>
      </c>
      <c r="DW140" s="1008">
        <f t="shared" si="158"/>
        <v>0</v>
      </c>
      <c r="DX140" s="1008">
        <f t="shared" si="158"/>
        <v>0</v>
      </c>
      <c r="DY140" s="1008">
        <f t="shared" si="159"/>
        <v>0</v>
      </c>
      <c r="DZ140" s="1008">
        <f t="shared" si="159"/>
        <v>0</v>
      </c>
      <c r="EA140" s="1008">
        <f t="shared" si="159"/>
        <v>0</v>
      </c>
      <c r="EB140" s="1008">
        <f t="shared" si="159"/>
        <v>0</v>
      </c>
      <c r="EC140" s="1008"/>
      <c r="ED140" s="1008">
        <f t="shared" si="160"/>
        <v>0</v>
      </c>
    </row>
    <row r="141" spans="1:136" s="203" customFormat="1" ht="28.5" customHeight="1" x14ac:dyDescent="0.25">
      <c r="A141" s="1560"/>
      <c r="B141" s="989"/>
      <c r="C141" s="1081" t="s">
        <v>4494</v>
      </c>
      <c r="D141" s="1019" t="s">
        <v>4477</v>
      </c>
      <c r="E141" s="997">
        <v>111</v>
      </c>
      <c r="F141" s="1097" t="s">
        <v>4482</v>
      </c>
      <c r="G141" s="1400"/>
      <c r="H141" s="1061">
        <f t="shared" si="143"/>
        <v>0</v>
      </c>
      <c r="I141" s="1061">
        <f t="shared" si="144"/>
        <v>0</v>
      </c>
      <c r="J141" s="1399">
        <v>320</v>
      </c>
      <c r="K141" s="1283">
        <v>948</v>
      </c>
      <c r="L141" s="1283">
        <v>390</v>
      </c>
      <c r="M141" s="1075">
        <v>0</v>
      </c>
      <c r="N141" s="1075">
        <v>0</v>
      </c>
      <c r="O141" s="1075">
        <v>0</v>
      </c>
      <c r="P141" s="1075"/>
      <c r="Q141" s="1075"/>
      <c r="R141" s="1075"/>
      <c r="S141" s="1097"/>
      <c r="T141" s="1097"/>
      <c r="U141" s="1097"/>
      <c r="V141" s="1097"/>
      <c r="W141" s="1097"/>
      <c r="X141" s="1097"/>
      <c r="Y141" s="1067">
        <f t="shared" si="145"/>
        <v>0</v>
      </c>
      <c r="Z141" s="1067"/>
      <c r="AA141" s="1067"/>
      <c r="AB141" s="1067"/>
      <c r="AC141" s="1067">
        <f>1804000000-636519551-639181389-128000000-400299060</f>
        <v>0</v>
      </c>
      <c r="AD141" s="1067"/>
      <c r="AE141" s="1067"/>
      <c r="AF141" s="1067"/>
      <c r="AG141" s="1067"/>
      <c r="AH141" s="1067"/>
      <c r="AI141" s="1067"/>
      <c r="AJ141" s="1067"/>
      <c r="AK141" s="1067"/>
      <c r="AL141" s="1067"/>
      <c r="AM141" s="1067"/>
      <c r="AN141" s="1067"/>
      <c r="AO141" s="1067"/>
      <c r="AP141" s="1067"/>
      <c r="AQ141" s="1067"/>
      <c r="AR141" s="1067"/>
      <c r="AS141" s="1067"/>
      <c r="AT141" s="1089"/>
      <c r="AU141" s="1082" t="e">
        <f t="shared" si="103"/>
        <v>#DIV/0!</v>
      </c>
      <c r="AV141" s="1067">
        <f t="shared" si="146"/>
        <v>0</v>
      </c>
      <c r="AW141" s="1067"/>
      <c r="AX141" s="1067"/>
      <c r="AY141" s="1067"/>
      <c r="AZ141" s="1067"/>
      <c r="BA141" s="1067"/>
      <c r="BB141" s="1067"/>
      <c r="BC141" s="1067"/>
      <c r="BD141" s="1067"/>
      <c r="BE141" s="1067"/>
      <c r="BF141" s="1067"/>
      <c r="BG141" s="1067"/>
      <c r="BH141" s="1067"/>
      <c r="BI141" s="1067"/>
      <c r="BJ141" s="1067"/>
      <c r="BK141" s="1067"/>
      <c r="BL141" s="1067"/>
      <c r="BM141" s="1067"/>
      <c r="BN141" s="1067"/>
      <c r="BO141" s="1067"/>
      <c r="BP141" s="1067"/>
      <c r="BQ141" s="1082" t="e">
        <f t="shared" si="105"/>
        <v>#DIV/0!</v>
      </c>
      <c r="BR141" s="1067">
        <f t="shared" si="147"/>
        <v>0</v>
      </c>
      <c r="BS141" s="1067">
        <f t="shared" si="148"/>
        <v>0</v>
      </c>
      <c r="BT141" s="1067">
        <f t="shared" si="149"/>
        <v>0</v>
      </c>
      <c r="BU141" s="1067"/>
      <c r="BV141" s="1067">
        <f t="shared" si="150"/>
        <v>0</v>
      </c>
      <c r="BW141" s="1067">
        <f t="shared" si="150"/>
        <v>0</v>
      </c>
      <c r="BX141" s="1067">
        <f t="shared" si="151"/>
        <v>0</v>
      </c>
      <c r="BY141" s="1067">
        <f t="shared" si="151"/>
        <v>0</v>
      </c>
      <c r="BZ141" s="1067"/>
      <c r="CA141" s="1067">
        <f t="shared" si="152"/>
        <v>0</v>
      </c>
      <c r="CB141" s="1067">
        <f t="shared" si="152"/>
        <v>0</v>
      </c>
      <c r="CC141" s="1067">
        <f t="shared" si="152"/>
        <v>0</v>
      </c>
      <c r="CD141" s="1067">
        <f t="shared" si="152"/>
        <v>0</v>
      </c>
      <c r="CE141" s="1067">
        <f t="shared" si="152"/>
        <v>0</v>
      </c>
      <c r="CF141" s="1067">
        <f t="shared" si="152"/>
        <v>0</v>
      </c>
      <c r="CG141" s="1067">
        <f t="shared" si="152"/>
        <v>0</v>
      </c>
      <c r="CH141" s="1067">
        <f t="shared" si="152"/>
        <v>0</v>
      </c>
      <c r="CI141" s="1067">
        <f t="shared" si="152"/>
        <v>0</v>
      </c>
      <c r="CJ141" s="1067"/>
      <c r="CK141" s="1067">
        <f t="shared" si="161"/>
        <v>0</v>
      </c>
      <c r="CL141" s="1067">
        <f t="shared" si="153"/>
        <v>0</v>
      </c>
      <c r="CM141" s="1082" t="e">
        <f t="shared" si="113"/>
        <v>#DIV/0!</v>
      </c>
      <c r="CN141" s="1067">
        <f t="shared" si="154"/>
        <v>0</v>
      </c>
      <c r="CO141" s="1067"/>
      <c r="CP141" s="1067"/>
      <c r="CQ141" s="1067"/>
      <c r="CR141" s="1067"/>
      <c r="CS141" s="1067"/>
      <c r="CT141" s="1067"/>
      <c r="CU141" s="1067"/>
      <c r="CV141" s="1067"/>
      <c r="CW141" s="1067"/>
      <c r="CX141" s="1067"/>
      <c r="CY141" s="1067"/>
      <c r="CZ141" s="1067"/>
      <c r="DA141" s="1067"/>
      <c r="DB141" s="1067"/>
      <c r="DC141" s="1067"/>
      <c r="DD141" s="1067"/>
      <c r="DE141" s="1067"/>
      <c r="DF141" s="1067"/>
      <c r="DG141" s="1067"/>
      <c r="DH141" s="1067"/>
      <c r="DI141" s="1082" t="e">
        <f t="shared" si="115"/>
        <v>#DIV/0!</v>
      </c>
      <c r="DJ141" s="1067">
        <f t="shared" si="155"/>
        <v>0</v>
      </c>
      <c r="DK141" s="1067"/>
      <c r="DL141" s="1067"/>
      <c r="DM141" s="1067"/>
      <c r="DN141" s="1067">
        <f t="shared" si="156"/>
        <v>0</v>
      </c>
      <c r="DO141" s="1067">
        <f t="shared" si="156"/>
        <v>0</v>
      </c>
      <c r="DP141" s="1067">
        <f t="shared" si="156"/>
        <v>0</v>
      </c>
      <c r="DQ141" s="1067">
        <f t="shared" si="156"/>
        <v>0</v>
      </c>
      <c r="DR141" s="1067"/>
      <c r="DS141" s="1067">
        <f t="shared" si="157"/>
        <v>0</v>
      </c>
      <c r="DT141" s="1067">
        <f t="shared" si="157"/>
        <v>0</v>
      </c>
      <c r="DU141" s="1067"/>
      <c r="DV141" s="1067">
        <f t="shared" si="158"/>
        <v>0</v>
      </c>
      <c r="DW141" s="1067">
        <f t="shared" si="158"/>
        <v>0</v>
      </c>
      <c r="DX141" s="1067">
        <f t="shared" si="158"/>
        <v>0</v>
      </c>
      <c r="DY141" s="1067">
        <f t="shared" si="159"/>
        <v>0</v>
      </c>
      <c r="DZ141" s="1067">
        <f t="shared" si="159"/>
        <v>0</v>
      </c>
      <c r="EA141" s="1067">
        <f t="shared" si="159"/>
        <v>0</v>
      </c>
      <c r="EB141" s="1067">
        <f t="shared" si="159"/>
        <v>0</v>
      </c>
      <c r="EC141" s="1067"/>
      <c r="ED141" s="1067">
        <f t="shared" si="160"/>
        <v>0</v>
      </c>
    </row>
    <row r="142" spans="1:136" ht="21" customHeight="1" x14ac:dyDescent="0.25">
      <c r="A142" s="1560"/>
      <c r="B142" s="989"/>
      <c r="C142" s="852" t="s">
        <v>4495</v>
      </c>
      <c r="D142" s="1019" t="s">
        <v>4714</v>
      </c>
      <c r="E142" s="995">
        <v>111</v>
      </c>
      <c r="F142" s="1097" t="s">
        <v>4482</v>
      </c>
      <c r="G142" s="1400"/>
      <c r="H142" s="1061">
        <f t="shared" si="143"/>
        <v>375878510</v>
      </c>
      <c r="I142" s="1061">
        <f t="shared" si="144"/>
        <v>180000000</v>
      </c>
      <c r="J142" s="1401"/>
      <c r="K142" s="1284"/>
      <c r="L142" s="1284"/>
      <c r="M142" s="1096">
        <v>6</v>
      </c>
      <c r="N142" s="1096">
        <v>0</v>
      </c>
      <c r="O142" s="1096">
        <v>0</v>
      </c>
      <c r="P142" s="1093">
        <v>100</v>
      </c>
      <c r="Q142" s="1093">
        <v>0</v>
      </c>
      <c r="R142" s="1093">
        <v>0</v>
      </c>
      <c r="S142" s="1097"/>
      <c r="T142" s="1097"/>
      <c r="U142" s="1097"/>
      <c r="V142" s="1097"/>
      <c r="W142" s="1097"/>
      <c r="X142" s="1097"/>
      <c r="Y142" s="1008">
        <f t="shared" si="145"/>
        <v>555878510</v>
      </c>
      <c r="Z142" s="1008"/>
      <c r="AA142" s="1008"/>
      <c r="AB142" s="1008"/>
      <c r="AC142" s="1008">
        <f>424000000+400000000-448121490+180000000</f>
        <v>555878510</v>
      </c>
      <c r="AD142" s="1008"/>
      <c r="AE142" s="1008"/>
      <c r="AF142" s="1008"/>
      <c r="AG142" s="1008"/>
      <c r="AH142" s="1008"/>
      <c r="AI142" s="1008"/>
      <c r="AJ142" s="1008"/>
      <c r="AK142" s="1008"/>
      <c r="AL142" s="1008"/>
      <c r="AM142" s="1008"/>
      <c r="AN142" s="1008"/>
      <c r="AO142" s="1008"/>
      <c r="AP142" s="1008"/>
      <c r="AQ142" s="1008"/>
      <c r="AR142" s="1008"/>
      <c r="AS142" s="1008"/>
      <c r="AT142" s="984"/>
      <c r="AU142" s="1011">
        <f t="shared" si="103"/>
        <v>0.67618823760609126</v>
      </c>
      <c r="AV142" s="1008">
        <f t="shared" si="146"/>
        <v>375878510</v>
      </c>
      <c r="AW142" s="1008"/>
      <c r="AX142" s="1008"/>
      <c r="AY142" s="1008"/>
      <c r="AZ142" s="1008">
        <f>+'[13]MAYO 2015'!$L$79-11600</f>
        <v>375878510</v>
      </c>
      <c r="BA142" s="1008"/>
      <c r="BB142" s="1008"/>
      <c r="BC142" s="1008"/>
      <c r="BD142" s="1008"/>
      <c r="BE142" s="1008"/>
      <c r="BF142" s="1008"/>
      <c r="BG142" s="1008"/>
      <c r="BH142" s="1008"/>
      <c r="BI142" s="1008"/>
      <c r="BJ142" s="1008"/>
      <c r="BK142" s="1008"/>
      <c r="BL142" s="1008"/>
      <c r="BM142" s="1008"/>
      <c r="BN142" s="1008"/>
      <c r="BO142" s="1008"/>
      <c r="BP142" s="1008"/>
      <c r="BQ142" s="1011">
        <f t="shared" si="105"/>
        <v>0.32381176239390874</v>
      </c>
      <c r="BR142" s="1008">
        <f t="shared" si="147"/>
        <v>180000000</v>
      </c>
      <c r="BS142" s="1008">
        <f t="shared" si="148"/>
        <v>0</v>
      </c>
      <c r="BT142" s="1008">
        <f t="shared" si="149"/>
        <v>0</v>
      </c>
      <c r="BU142" s="1008"/>
      <c r="BV142" s="1008">
        <f t="shared" si="150"/>
        <v>180000000</v>
      </c>
      <c r="BW142" s="1008">
        <f t="shared" si="150"/>
        <v>0</v>
      </c>
      <c r="BX142" s="1008">
        <f t="shared" si="151"/>
        <v>0</v>
      </c>
      <c r="BY142" s="1008">
        <f t="shared" si="151"/>
        <v>0</v>
      </c>
      <c r="BZ142" s="1008"/>
      <c r="CA142" s="1008">
        <f t="shared" si="152"/>
        <v>0</v>
      </c>
      <c r="CB142" s="1008">
        <f t="shared" si="152"/>
        <v>0</v>
      </c>
      <c r="CC142" s="1008">
        <f t="shared" si="152"/>
        <v>0</v>
      </c>
      <c r="CD142" s="1008">
        <f t="shared" si="152"/>
        <v>0</v>
      </c>
      <c r="CE142" s="1008">
        <f t="shared" si="152"/>
        <v>0</v>
      </c>
      <c r="CF142" s="1008">
        <f t="shared" si="152"/>
        <v>0</v>
      </c>
      <c r="CG142" s="1008">
        <f t="shared" si="152"/>
        <v>0</v>
      </c>
      <c r="CH142" s="1008">
        <f t="shared" si="152"/>
        <v>0</v>
      </c>
      <c r="CI142" s="1008">
        <f t="shared" si="152"/>
        <v>0</v>
      </c>
      <c r="CJ142" s="1008"/>
      <c r="CK142" s="1008">
        <f t="shared" si="161"/>
        <v>0</v>
      </c>
      <c r="CL142" s="1008">
        <f t="shared" si="153"/>
        <v>0</v>
      </c>
      <c r="CM142" s="1011">
        <f t="shared" si="113"/>
        <v>0.67618823760609126</v>
      </c>
      <c r="CN142" s="1008">
        <f t="shared" si="154"/>
        <v>375878510</v>
      </c>
      <c r="CO142" s="1008"/>
      <c r="CP142" s="1008"/>
      <c r="CQ142" s="1008"/>
      <c r="CR142" s="1008">
        <v>375878510</v>
      </c>
      <c r="CS142" s="1008"/>
      <c r="CT142" s="1008"/>
      <c r="CU142" s="1008"/>
      <c r="CV142" s="1008"/>
      <c r="CW142" s="1008"/>
      <c r="CX142" s="1008"/>
      <c r="CY142" s="1008"/>
      <c r="CZ142" s="1008"/>
      <c r="DA142" s="1008"/>
      <c r="DB142" s="1008"/>
      <c r="DC142" s="1008"/>
      <c r="DD142" s="1008"/>
      <c r="DE142" s="1008"/>
      <c r="DF142" s="1008"/>
      <c r="DG142" s="1008"/>
      <c r="DH142" s="1008"/>
      <c r="DI142" s="1011">
        <f t="shared" si="115"/>
        <v>0.32381176239390874</v>
      </c>
      <c r="DJ142" s="1008">
        <f t="shared" si="155"/>
        <v>180000000</v>
      </c>
      <c r="DK142" s="1008"/>
      <c r="DL142" s="1008"/>
      <c r="DM142" s="1008"/>
      <c r="DN142" s="1008">
        <f t="shared" si="156"/>
        <v>180000000</v>
      </c>
      <c r="DO142" s="1008">
        <f t="shared" si="156"/>
        <v>0</v>
      </c>
      <c r="DP142" s="1008">
        <f t="shared" si="156"/>
        <v>0</v>
      </c>
      <c r="DQ142" s="1008">
        <f t="shared" si="156"/>
        <v>0</v>
      </c>
      <c r="DR142" s="1008"/>
      <c r="DS142" s="1008">
        <f t="shared" si="157"/>
        <v>0</v>
      </c>
      <c r="DT142" s="1008">
        <f t="shared" si="157"/>
        <v>0</v>
      </c>
      <c r="DU142" s="1008"/>
      <c r="DV142" s="1008">
        <f t="shared" si="158"/>
        <v>0</v>
      </c>
      <c r="DW142" s="1008">
        <f t="shared" si="158"/>
        <v>0</v>
      </c>
      <c r="DX142" s="1008">
        <f t="shared" si="158"/>
        <v>0</v>
      </c>
      <c r="DY142" s="1008">
        <f t="shared" si="159"/>
        <v>0</v>
      </c>
      <c r="DZ142" s="1008">
        <f t="shared" si="159"/>
        <v>0</v>
      </c>
      <c r="EA142" s="1008">
        <f t="shared" si="159"/>
        <v>0</v>
      </c>
      <c r="EB142" s="1008">
        <f t="shared" si="159"/>
        <v>0</v>
      </c>
      <c r="EC142" s="1008"/>
      <c r="ED142" s="1008">
        <f t="shared" si="160"/>
        <v>0</v>
      </c>
    </row>
    <row r="143" spans="1:136" s="203" customFormat="1" ht="48.75" customHeight="1" x14ac:dyDescent="0.25">
      <c r="A143" s="1560"/>
      <c r="B143" s="989"/>
      <c r="C143" s="1081" t="s">
        <v>4496</v>
      </c>
      <c r="D143" s="1019" t="s">
        <v>4478</v>
      </c>
      <c r="E143" s="997">
        <v>111</v>
      </c>
      <c r="F143" s="1097" t="s">
        <v>4482</v>
      </c>
      <c r="G143" s="1400"/>
      <c r="H143" s="1061">
        <f t="shared" si="143"/>
        <v>0</v>
      </c>
      <c r="I143" s="1061">
        <f t="shared" si="144"/>
        <v>0</v>
      </c>
      <c r="J143" s="1270">
        <v>9</v>
      </c>
      <c r="K143" s="1305">
        <v>129</v>
      </c>
      <c r="L143" s="1305">
        <v>20</v>
      </c>
      <c r="M143" s="1075">
        <v>0</v>
      </c>
      <c r="N143" s="1075">
        <v>0</v>
      </c>
      <c r="O143" s="1075">
        <v>0</v>
      </c>
      <c r="P143" s="1075"/>
      <c r="Q143" s="1075"/>
      <c r="R143" s="1075"/>
      <c r="S143" s="1097"/>
      <c r="T143" s="1097"/>
      <c r="U143" s="1097"/>
      <c r="V143" s="1097"/>
      <c r="W143" s="1097"/>
      <c r="X143" s="1097"/>
      <c r="Y143" s="1067">
        <f t="shared" si="145"/>
        <v>0</v>
      </c>
      <c r="Z143" s="1067"/>
      <c r="AA143" s="1067"/>
      <c r="AB143" s="1067"/>
      <c r="AC143" s="1067">
        <f>212000000-212000000</f>
        <v>0</v>
      </c>
      <c r="AD143" s="1067"/>
      <c r="AE143" s="1067"/>
      <c r="AF143" s="1067"/>
      <c r="AG143" s="1067"/>
      <c r="AH143" s="1067"/>
      <c r="AI143" s="1067"/>
      <c r="AJ143" s="1067"/>
      <c r="AK143" s="1067"/>
      <c r="AL143" s="1067"/>
      <c r="AM143" s="1067"/>
      <c r="AN143" s="1067"/>
      <c r="AO143" s="1067"/>
      <c r="AP143" s="1067"/>
      <c r="AQ143" s="1067"/>
      <c r="AR143" s="1067"/>
      <c r="AS143" s="1067"/>
      <c r="AT143" s="1089"/>
      <c r="AU143" s="1082" t="e">
        <f t="shared" si="103"/>
        <v>#DIV/0!</v>
      </c>
      <c r="AV143" s="1067">
        <f t="shared" si="146"/>
        <v>0</v>
      </c>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82" t="e">
        <f t="shared" si="105"/>
        <v>#DIV/0!</v>
      </c>
      <c r="BR143" s="1067">
        <f t="shared" si="147"/>
        <v>0</v>
      </c>
      <c r="BS143" s="1067">
        <f t="shared" si="148"/>
        <v>0</v>
      </c>
      <c r="BT143" s="1067">
        <f t="shared" si="149"/>
        <v>0</v>
      </c>
      <c r="BU143" s="1067"/>
      <c r="BV143" s="1067">
        <f t="shared" si="150"/>
        <v>0</v>
      </c>
      <c r="BW143" s="1067">
        <f t="shared" si="150"/>
        <v>0</v>
      </c>
      <c r="BX143" s="1067">
        <f t="shared" si="151"/>
        <v>0</v>
      </c>
      <c r="BY143" s="1067">
        <f t="shared" si="151"/>
        <v>0</v>
      </c>
      <c r="BZ143" s="1067"/>
      <c r="CA143" s="1067">
        <f t="shared" si="152"/>
        <v>0</v>
      </c>
      <c r="CB143" s="1067">
        <f t="shared" si="152"/>
        <v>0</v>
      </c>
      <c r="CC143" s="1067">
        <f t="shared" si="152"/>
        <v>0</v>
      </c>
      <c r="CD143" s="1067">
        <f t="shared" si="152"/>
        <v>0</v>
      </c>
      <c r="CE143" s="1067">
        <f t="shared" si="152"/>
        <v>0</v>
      </c>
      <c r="CF143" s="1067">
        <f t="shared" si="152"/>
        <v>0</v>
      </c>
      <c r="CG143" s="1067">
        <f t="shared" si="152"/>
        <v>0</v>
      </c>
      <c r="CH143" s="1067">
        <f t="shared" si="152"/>
        <v>0</v>
      </c>
      <c r="CI143" s="1067">
        <f t="shared" si="152"/>
        <v>0</v>
      </c>
      <c r="CJ143" s="1067"/>
      <c r="CK143" s="1067">
        <f t="shared" si="161"/>
        <v>0</v>
      </c>
      <c r="CL143" s="1067">
        <f t="shared" si="153"/>
        <v>0</v>
      </c>
      <c r="CM143" s="1082" t="e">
        <f t="shared" si="113"/>
        <v>#DIV/0!</v>
      </c>
      <c r="CN143" s="1067">
        <f t="shared" si="154"/>
        <v>0</v>
      </c>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82" t="e">
        <f t="shared" si="115"/>
        <v>#DIV/0!</v>
      </c>
      <c r="DJ143" s="1067">
        <f t="shared" si="155"/>
        <v>0</v>
      </c>
      <c r="DK143" s="1067"/>
      <c r="DL143" s="1067"/>
      <c r="DM143" s="1067"/>
      <c r="DN143" s="1067">
        <f t="shared" si="156"/>
        <v>0</v>
      </c>
      <c r="DO143" s="1067">
        <f t="shared" si="156"/>
        <v>0</v>
      </c>
      <c r="DP143" s="1067">
        <f t="shared" si="156"/>
        <v>0</v>
      </c>
      <c r="DQ143" s="1067">
        <f t="shared" si="156"/>
        <v>0</v>
      </c>
      <c r="DR143" s="1067"/>
      <c r="DS143" s="1067">
        <f t="shared" si="157"/>
        <v>0</v>
      </c>
      <c r="DT143" s="1067">
        <f t="shared" si="157"/>
        <v>0</v>
      </c>
      <c r="DU143" s="1067"/>
      <c r="DV143" s="1067">
        <f t="shared" si="158"/>
        <v>0</v>
      </c>
      <c r="DW143" s="1067">
        <f t="shared" si="158"/>
        <v>0</v>
      </c>
      <c r="DX143" s="1067">
        <f t="shared" si="158"/>
        <v>0</v>
      </c>
      <c r="DY143" s="1067">
        <f t="shared" si="159"/>
        <v>0</v>
      </c>
      <c r="DZ143" s="1067">
        <f t="shared" si="159"/>
        <v>0</v>
      </c>
      <c r="EA143" s="1067">
        <f t="shared" si="159"/>
        <v>0</v>
      </c>
      <c r="EB143" s="1067">
        <f t="shared" si="159"/>
        <v>0</v>
      </c>
      <c r="EC143" s="1067"/>
      <c r="ED143" s="1067">
        <f t="shared" si="160"/>
        <v>0</v>
      </c>
    </row>
    <row r="144" spans="1:136" s="203" customFormat="1" ht="27.75" customHeight="1" x14ac:dyDescent="0.25">
      <c r="A144" s="1560"/>
      <c r="B144" s="989"/>
      <c r="C144" s="1081" t="s">
        <v>4497</v>
      </c>
      <c r="D144" s="1019" t="s">
        <v>4479</v>
      </c>
      <c r="E144" s="997">
        <v>111</v>
      </c>
      <c r="F144" s="1097" t="s">
        <v>4482</v>
      </c>
      <c r="G144" s="1400"/>
      <c r="H144" s="1061">
        <f t="shared" si="143"/>
        <v>0</v>
      </c>
      <c r="I144" s="1061">
        <f t="shared" si="144"/>
        <v>0</v>
      </c>
      <c r="J144" s="1270"/>
      <c r="K144" s="1305"/>
      <c r="L144" s="1305"/>
      <c r="M144" s="1075">
        <v>0</v>
      </c>
      <c r="N144" s="1075">
        <v>0</v>
      </c>
      <c r="O144" s="1075">
        <v>0</v>
      </c>
      <c r="P144" s="1075"/>
      <c r="Q144" s="1075"/>
      <c r="R144" s="1075"/>
      <c r="S144" s="1097"/>
      <c r="T144" s="1097"/>
      <c r="U144" s="1097"/>
      <c r="V144" s="1097"/>
      <c r="W144" s="1097"/>
      <c r="X144" s="1097"/>
      <c r="Y144" s="1067">
        <f t="shared" si="145"/>
        <v>0</v>
      </c>
      <c r="Z144" s="1067"/>
      <c r="AA144" s="1067"/>
      <c r="AB144" s="1067"/>
      <c r="AC144" s="1067">
        <f>63600000-50000000-13600000</f>
        <v>0</v>
      </c>
      <c r="AD144" s="1067"/>
      <c r="AE144" s="1067"/>
      <c r="AF144" s="1067"/>
      <c r="AG144" s="1067"/>
      <c r="AH144" s="1067"/>
      <c r="AI144" s="1067"/>
      <c r="AJ144" s="1067"/>
      <c r="AK144" s="1067"/>
      <c r="AL144" s="1067"/>
      <c r="AM144" s="1067"/>
      <c r="AN144" s="1067"/>
      <c r="AO144" s="1067"/>
      <c r="AP144" s="1067"/>
      <c r="AQ144" s="1067"/>
      <c r="AR144" s="1067"/>
      <c r="AS144" s="1067"/>
      <c r="AT144" s="1089"/>
      <c r="AU144" s="1082" t="e">
        <f t="shared" si="103"/>
        <v>#DIV/0!</v>
      </c>
      <c r="AV144" s="1067">
        <f t="shared" si="146"/>
        <v>0</v>
      </c>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82" t="e">
        <f t="shared" si="105"/>
        <v>#DIV/0!</v>
      </c>
      <c r="BR144" s="1067">
        <f t="shared" si="147"/>
        <v>0</v>
      </c>
      <c r="BS144" s="1067">
        <f t="shared" si="148"/>
        <v>0</v>
      </c>
      <c r="BT144" s="1067">
        <f t="shared" si="149"/>
        <v>0</v>
      </c>
      <c r="BU144" s="1067"/>
      <c r="BV144" s="1067">
        <f t="shared" si="150"/>
        <v>0</v>
      </c>
      <c r="BW144" s="1067">
        <f t="shared" si="150"/>
        <v>0</v>
      </c>
      <c r="BX144" s="1067">
        <f t="shared" si="151"/>
        <v>0</v>
      </c>
      <c r="BY144" s="1067">
        <f t="shared" si="151"/>
        <v>0</v>
      </c>
      <c r="BZ144" s="1067"/>
      <c r="CA144" s="1067">
        <f t="shared" si="152"/>
        <v>0</v>
      </c>
      <c r="CB144" s="1067">
        <f t="shared" si="152"/>
        <v>0</v>
      </c>
      <c r="CC144" s="1067">
        <f t="shared" si="152"/>
        <v>0</v>
      </c>
      <c r="CD144" s="1067">
        <f t="shared" si="152"/>
        <v>0</v>
      </c>
      <c r="CE144" s="1067">
        <f t="shared" si="152"/>
        <v>0</v>
      </c>
      <c r="CF144" s="1067">
        <f t="shared" si="152"/>
        <v>0</v>
      </c>
      <c r="CG144" s="1067">
        <f t="shared" si="152"/>
        <v>0</v>
      </c>
      <c r="CH144" s="1067">
        <f t="shared" si="152"/>
        <v>0</v>
      </c>
      <c r="CI144" s="1067">
        <f t="shared" si="152"/>
        <v>0</v>
      </c>
      <c r="CJ144" s="1067"/>
      <c r="CK144" s="1067">
        <f t="shared" si="161"/>
        <v>0</v>
      </c>
      <c r="CL144" s="1067">
        <f t="shared" si="153"/>
        <v>0</v>
      </c>
      <c r="CM144" s="1082" t="e">
        <f t="shared" si="113"/>
        <v>#DIV/0!</v>
      </c>
      <c r="CN144" s="1067">
        <f t="shared" si="154"/>
        <v>0</v>
      </c>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82" t="e">
        <f t="shared" si="115"/>
        <v>#DIV/0!</v>
      </c>
      <c r="DJ144" s="1067">
        <f t="shared" si="155"/>
        <v>0</v>
      </c>
      <c r="DK144" s="1067"/>
      <c r="DL144" s="1067"/>
      <c r="DM144" s="1067"/>
      <c r="DN144" s="1067">
        <f t="shared" si="156"/>
        <v>0</v>
      </c>
      <c r="DO144" s="1067">
        <f t="shared" si="156"/>
        <v>0</v>
      </c>
      <c r="DP144" s="1067">
        <f t="shared" si="156"/>
        <v>0</v>
      </c>
      <c r="DQ144" s="1067">
        <f t="shared" si="156"/>
        <v>0</v>
      </c>
      <c r="DR144" s="1067"/>
      <c r="DS144" s="1067">
        <f t="shared" si="157"/>
        <v>0</v>
      </c>
      <c r="DT144" s="1067">
        <f t="shared" si="157"/>
        <v>0</v>
      </c>
      <c r="DU144" s="1067"/>
      <c r="DV144" s="1067">
        <f t="shared" si="158"/>
        <v>0</v>
      </c>
      <c r="DW144" s="1067">
        <f t="shared" si="158"/>
        <v>0</v>
      </c>
      <c r="DX144" s="1067">
        <f t="shared" si="158"/>
        <v>0</v>
      </c>
      <c r="DY144" s="1067">
        <f t="shared" si="159"/>
        <v>0</v>
      </c>
      <c r="DZ144" s="1067">
        <f t="shared" si="159"/>
        <v>0</v>
      </c>
      <c r="EA144" s="1067">
        <f t="shared" si="159"/>
        <v>0</v>
      </c>
      <c r="EB144" s="1067">
        <f t="shared" si="159"/>
        <v>0</v>
      </c>
      <c r="EC144" s="1067"/>
      <c r="ED144" s="1067">
        <f t="shared" si="160"/>
        <v>0</v>
      </c>
    </row>
    <row r="145" spans="1:134" ht="34.5" customHeight="1" x14ac:dyDescent="0.25">
      <c r="A145" s="1560"/>
      <c r="B145" s="989"/>
      <c r="C145" s="852" t="s">
        <v>4498</v>
      </c>
      <c r="D145" s="1019" t="s">
        <v>4480</v>
      </c>
      <c r="E145" s="995">
        <v>111</v>
      </c>
      <c r="F145" s="1097" t="s">
        <v>4482</v>
      </c>
      <c r="G145" s="1400"/>
      <c r="H145" s="1061">
        <f t="shared" si="143"/>
        <v>0</v>
      </c>
      <c r="I145" s="1061">
        <f t="shared" si="144"/>
        <v>121000000</v>
      </c>
      <c r="J145" s="1575">
        <v>1120</v>
      </c>
      <c r="K145" s="1578">
        <v>3920</v>
      </c>
      <c r="L145" s="1283">
        <v>1456</v>
      </c>
      <c r="M145" s="1093">
        <v>0</v>
      </c>
      <c r="N145" s="1093">
        <v>0</v>
      </c>
      <c r="O145" s="1093">
        <v>0</v>
      </c>
      <c r="P145" s="1093">
        <v>0</v>
      </c>
      <c r="Q145" s="1093">
        <v>0</v>
      </c>
      <c r="R145" s="1093">
        <v>0</v>
      </c>
      <c r="S145" s="1097"/>
      <c r="T145" s="1097"/>
      <c r="U145" s="1097"/>
      <c r="V145" s="1097"/>
      <c r="W145" s="1097"/>
      <c r="X145" s="1097"/>
      <c r="Y145" s="1008">
        <f t="shared" si="145"/>
        <v>121000000</v>
      </c>
      <c r="Z145" s="1008"/>
      <c r="AA145" s="1008"/>
      <c r="AB145" s="1008"/>
      <c r="AC145" s="1008">
        <f>1590000000+897519551-1587519551-900000000</f>
        <v>0</v>
      </c>
      <c r="AD145" s="1008"/>
      <c r="AE145" s="1008"/>
      <c r="AF145" s="1008"/>
      <c r="AG145" s="1008"/>
      <c r="AH145" s="1008"/>
      <c r="AI145" s="1008"/>
      <c r="AJ145" s="1008"/>
      <c r="AK145" s="1008"/>
      <c r="AL145" s="1008"/>
      <c r="AM145" s="1008"/>
      <c r="AN145" s="1008"/>
      <c r="AO145" s="1008"/>
      <c r="AP145" s="1008"/>
      <c r="AQ145" s="1008"/>
      <c r="AR145" s="1008"/>
      <c r="AS145" s="1008">
        <v>121000000</v>
      </c>
      <c r="AT145" s="984"/>
      <c r="AU145" s="1011">
        <f t="shared" si="103"/>
        <v>0</v>
      </c>
      <c r="AV145" s="1008">
        <f t="shared" si="146"/>
        <v>0</v>
      </c>
      <c r="AW145" s="1008"/>
      <c r="AX145" s="1008"/>
      <c r="AY145" s="1008"/>
      <c r="AZ145" s="1008"/>
      <c r="BA145" s="1008"/>
      <c r="BB145" s="1008"/>
      <c r="BC145" s="1008"/>
      <c r="BD145" s="1008"/>
      <c r="BE145" s="1008"/>
      <c r="BF145" s="1008"/>
      <c r="BG145" s="1008"/>
      <c r="BH145" s="1008"/>
      <c r="BI145" s="1008"/>
      <c r="BJ145" s="1008"/>
      <c r="BK145" s="1008"/>
      <c r="BL145" s="1008"/>
      <c r="BM145" s="1008"/>
      <c r="BN145" s="1008"/>
      <c r="BO145" s="1008"/>
      <c r="BP145" s="1008"/>
      <c r="BQ145" s="1011">
        <f t="shared" si="105"/>
        <v>1</v>
      </c>
      <c r="BR145" s="1008">
        <f t="shared" si="147"/>
        <v>121000000</v>
      </c>
      <c r="BS145" s="1008">
        <f t="shared" si="148"/>
        <v>0</v>
      </c>
      <c r="BT145" s="1008">
        <f t="shared" si="149"/>
        <v>0</v>
      </c>
      <c r="BU145" s="1008"/>
      <c r="BV145" s="1008">
        <f t="shared" si="150"/>
        <v>0</v>
      </c>
      <c r="BW145" s="1008">
        <f t="shared" si="150"/>
        <v>0</v>
      </c>
      <c r="BX145" s="1008">
        <f t="shared" si="151"/>
        <v>0</v>
      </c>
      <c r="BY145" s="1008">
        <f t="shared" si="151"/>
        <v>0</v>
      </c>
      <c r="BZ145" s="1008"/>
      <c r="CA145" s="1008">
        <f t="shared" si="152"/>
        <v>0</v>
      </c>
      <c r="CB145" s="1008">
        <f t="shared" si="152"/>
        <v>0</v>
      </c>
      <c r="CC145" s="1008">
        <f t="shared" si="152"/>
        <v>0</v>
      </c>
      <c r="CD145" s="1008">
        <f t="shared" si="152"/>
        <v>0</v>
      </c>
      <c r="CE145" s="1008">
        <f t="shared" si="152"/>
        <v>0</v>
      </c>
      <c r="CF145" s="1008">
        <f t="shared" si="152"/>
        <v>0</v>
      </c>
      <c r="CG145" s="1008">
        <f t="shared" si="152"/>
        <v>0</v>
      </c>
      <c r="CH145" s="1008">
        <f t="shared" si="152"/>
        <v>0</v>
      </c>
      <c r="CI145" s="1008">
        <f t="shared" si="152"/>
        <v>0</v>
      </c>
      <c r="CJ145" s="1008"/>
      <c r="CK145" s="1008">
        <f t="shared" si="161"/>
        <v>0</v>
      </c>
      <c r="CL145" s="1008">
        <f t="shared" si="153"/>
        <v>121000000</v>
      </c>
      <c r="CM145" s="1011">
        <f t="shared" si="113"/>
        <v>0</v>
      </c>
      <c r="CN145" s="1008">
        <f t="shared" si="154"/>
        <v>0</v>
      </c>
      <c r="CO145" s="1008"/>
      <c r="CP145" s="1008"/>
      <c r="CQ145" s="1008"/>
      <c r="CR145" s="1008"/>
      <c r="CS145" s="1008"/>
      <c r="CT145" s="1008"/>
      <c r="CU145" s="1008"/>
      <c r="CV145" s="1008"/>
      <c r="CW145" s="1008"/>
      <c r="CX145" s="1008"/>
      <c r="CY145" s="1008"/>
      <c r="CZ145" s="1008"/>
      <c r="DA145" s="1008"/>
      <c r="DB145" s="1008"/>
      <c r="DC145" s="1008"/>
      <c r="DD145" s="1008"/>
      <c r="DE145" s="1008"/>
      <c r="DF145" s="1008"/>
      <c r="DG145" s="1008"/>
      <c r="DH145" s="1008"/>
      <c r="DI145" s="1011">
        <f t="shared" si="115"/>
        <v>1</v>
      </c>
      <c r="DJ145" s="1008">
        <f t="shared" si="155"/>
        <v>121000000</v>
      </c>
      <c r="DK145" s="1008"/>
      <c r="DL145" s="1008"/>
      <c r="DM145" s="1008"/>
      <c r="DN145" s="1008">
        <f t="shared" si="156"/>
        <v>0</v>
      </c>
      <c r="DO145" s="1008">
        <f t="shared" si="156"/>
        <v>0</v>
      </c>
      <c r="DP145" s="1008">
        <f t="shared" si="156"/>
        <v>0</v>
      </c>
      <c r="DQ145" s="1008">
        <f t="shared" si="156"/>
        <v>0</v>
      </c>
      <c r="DR145" s="1008"/>
      <c r="DS145" s="1008">
        <f t="shared" si="157"/>
        <v>0</v>
      </c>
      <c r="DT145" s="1008">
        <f t="shared" si="157"/>
        <v>0</v>
      </c>
      <c r="DU145" s="1008"/>
      <c r="DV145" s="1008">
        <f t="shared" si="158"/>
        <v>0</v>
      </c>
      <c r="DW145" s="1008">
        <f t="shared" si="158"/>
        <v>0</v>
      </c>
      <c r="DX145" s="1008">
        <f t="shared" si="158"/>
        <v>0</v>
      </c>
      <c r="DY145" s="1008">
        <f t="shared" si="159"/>
        <v>0</v>
      </c>
      <c r="DZ145" s="1008">
        <f t="shared" si="159"/>
        <v>0</v>
      </c>
      <c r="EA145" s="1008">
        <f t="shared" si="159"/>
        <v>0</v>
      </c>
      <c r="EB145" s="1008">
        <f t="shared" si="159"/>
        <v>0</v>
      </c>
      <c r="EC145" s="1008"/>
      <c r="ED145" s="1008">
        <f t="shared" si="160"/>
        <v>121000000</v>
      </c>
    </row>
    <row r="146" spans="1:134" s="203" customFormat="1" ht="35.25" customHeight="1" x14ac:dyDescent="0.25">
      <c r="A146" s="1560"/>
      <c r="B146" s="989"/>
      <c r="C146" s="1081" t="s">
        <v>4499</v>
      </c>
      <c r="D146" s="1019" t="s">
        <v>4481</v>
      </c>
      <c r="E146" s="997">
        <v>111</v>
      </c>
      <c r="F146" s="1097" t="s">
        <v>4482</v>
      </c>
      <c r="G146" s="1400"/>
      <c r="H146" s="1061">
        <f t="shared" si="143"/>
        <v>0</v>
      </c>
      <c r="I146" s="1061">
        <f t="shared" si="144"/>
        <v>0</v>
      </c>
      <c r="J146" s="1576"/>
      <c r="K146" s="1579"/>
      <c r="L146" s="1573"/>
      <c r="M146" s="1075"/>
      <c r="N146" s="1075"/>
      <c r="O146" s="1075"/>
      <c r="P146" s="1075"/>
      <c r="Q146" s="1075"/>
      <c r="R146" s="1075"/>
      <c r="S146" s="1097"/>
      <c r="T146" s="1097"/>
      <c r="U146" s="1097"/>
      <c r="V146" s="1097"/>
      <c r="W146" s="1097"/>
      <c r="X146" s="1097"/>
      <c r="Y146" s="1067">
        <f t="shared" si="145"/>
        <v>0</v>
      </c>
      <c r="Z146" s="149"/>
      <c r="AA146" s="149"/>
      <c r="AB146" s="149"/>
      <c r="AC146" s="1067">
        <f>417803755-417803755</f>
        <v>0</v>
      </c>
      <c r="AD146" s="149"/>
      <c r="AE146" s="149"/>
      <c r="AF146" s="149"/>
      <c r="AG146" s="149"/>
      <c r="AH146" s="149"/>
      <c r="AI146" s="149"/>
      <c r="AJ146" s="149"/>
      <c r="AK146" s="149"/>
      <c r="AL146" s="149"/>
      <c r="AM146" s="149"/>
      <c r="AN146" s="149"/>
      <c r="AO146" s="149"/>
      <c r="AP146" s="149"/>
      <c r="AQ146" s="149"/>
      <c r="AR146" s="149"/>
      <c r="AS146" s="149"/>
      <c r="AT146" s="1089"/>
      <c r="AU146" s="1082" t="e">
        <f t="shared" si="103"/>
        <v>#DIV/0!</v>
      </c>
      <c r="AV146" s="1067">
        <f t="shared" si="146"/>
        <v>0</v>
      </c>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82" t="e">
        <f t="shared" si="105"/>
        <v>#DIV/0!</v>
      </c>
      <c r="BR146" s="1067">
        <f t="shared" si="147"/>
        <v>0</v>
      </c>
      <c r="BS146" s="1067">
        <f t="shared" si="148"/>
        <v>0</v>
      </c>
      <c r="BT146" s="1067">
        <f t="shared" si="149"/>
        <v>0</v>
      </c>
      <c r="BU146" s="1067"/>
      <c r="BV146" s="1067">
        <f t="shared" si="150"/>
        <v>0</v>
      </c>
      <c r="BW146" s="1067">
        <f t="shared" si="150"/>
        <v>0</v>
      </c>
      <c r="BX146" s="1067">
        <f t="shared" si="151"/>
        <v>0</v>
      </c>
      <c r="BY146" s="1067">
        <f t="shared" si="151"/>
        <v>0</v>
      </c>
      <c r="BZ146" s="1067"/>
      <c r="CA146" s="1067">
        <f t="shared" si="152"/>
        <v>0</v>
      </c>
      <c r="CB146" s="1067">
        <f t="shared" si="152"/>
        <v>0</v>
      </c>
      <c r="CC146" s="1067">
        <f t="shared" si="152"/>
        <v>0</v>
      </c>
      <c r="CD146" s="1067">
        <f t="shared" si="152"/>
        <v>0</v>
      </c>
      <c r="CE146" s="1067">
        <f t="shared" si="152"/>
        <v>0</v>
      </c>
      <c r="CF146" s="1067">
        <f t="shared" si="152"/>
        <v>0</v>
      </c>
      <c r="CG146" s="1067">
        <f t="shared" si="152"/>
        <v>0</v>
      </c>
      <c r="CH146" s="1067">
        <f t="shared" si="152"/>
        <v>0</v>
      </c>
      <c r="CI146" s="1067">
        <f t="shared" si="152"/>
        <v>0</v>
      </c>
      <c r="CJ146" s="1067"/>
      <c r="CK146" s="1067">
        <f t="shared" si="161"/>
        <v>0</v>
      </c>
      <c r="CL146" s="1067">
        <f t="shared" si="153"/>
        <v>0</v>
      </c>
      <c r="CM146" s="1082" t="e">
        <f t="shared" si="113"/>
        <v>#DIV/0!</v>
      </c>
      <c r="CN146" s="1067">
        <f t="shared" si="154"/>
        <v>0</v>
      </c>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82" t="e">
        <f t="shared" si="115"/>
        <v>#DIV/0!</v>
      </c>
      <c r="DJ146" s="1067">
        <f t="shared" si="155"/>
        <v>0</v>
      </c>
      <c r="DK146" s="1067"/>
      <c r="DL146" s="1067"/>
      <c r="DM146" s="1067"/>
      <c r="DN146" s="1067">
        <f t="shared" si="156"/>
        <v>0</v>
      </c>
      <c r="DO146" s="1067">
        <f t="shared" si="156"/>
        <v>0</v>
      </c>
      <c r="DP146" s="1067">
        <f t="shared" si="156"/>
        <v>0</v>
      </c>
      <c r="DQ146" s="1067">
        <f t="shared" si="156"/>
        <v>0</v>
      </c>
      <c r="DR146" s="1067"/>
      <c r="DS146" s="1067">
        <f t="shared" si="157"/>
        <v>0</v>
      </c>
      <c r="DT146" s="1067">
        <f t="shared" si="157"/>
        <v>0</v>
      </c>
      <c r="DU146" s="1067"/>
      <c r="DV146" s="1067">
        <f t="shared" si="158"/>
        <v>0</v>
      </c>
      <c r="DW146" s="1067">
        <f t="shared" si="158"/>
        <v>0</v>
      </c>
      <c r="DX146" s="1067">
        <f t="shared" si="158"/>
        <v>0</v>
      </c>
      <c r="DY146" s="1067">
        <f t="shared" si="159"/>
        <v>0</v>
      </c>
      <c r="DZ146" s="1067">
        <f t="shared" si="159"/>
        <v>0</v>
      </c>
      <c r="EA146" s="1067">
        <f t="shared" si="159"/>
        <v>0</v>
      </c>
      <c r="EB146" s="1067">
        <f t="shared" si="159"/>
        <v>0</v>
      </c>
      <c r="EC146" s="1067"/>
      <c r="ED146" s="1067">
        <f t="shared" si="160"/>
        <v>0</v>
      </c>
    </row>
    <row r="147" spans="1:134" ht="32.25" customHeight="1" x14ac:dyDescent="0.25">
      <c r="A147" s="1560"/>
      <c r="B147" s="989"/>
      <c r="C147" s="852" t="s">
        <v>4500</v>
      </c>
      <c r="D147" s="1019" t="s">
        <v>4718</v>
      </c>
      <c r="E147" s="995">
        <v>111</v>
      </c>
      <c r="F147" s="1097" t="s">
        <v>4482</v>
      </c>
      <c r="G147" s="1400"/>
      <c r="H147" s="1061">
        <f t="shared" si="143"/>
        <v>661861284</v>
      </c>
      <c r="I147" s="1061">
        <f t="shared" si="144"/>
        <v>463500048</v>
      </c>
      <c r="J147" s="1577"/>
      <c r="K147" s="1580"/>
      <c r="L147" s="1284"/>
      <c r="M147" s="1075"/>
      <c r="N147" s="1075"/>
      <c r="O147" s="1075"/>
      <c r="P147" s="1093">
        <v>42</v>
      </c>
      <c r="Q147" s="1093">
        <v>0</v>
      </c>
      <c r="R147" s="1093">
        <v>0</v>
      </c>
      <c r="S147" s="1097"/>
      <c r="T147" s="1097"/>
      <c r="U147" s="1097"/>
      <c r="V147" s="1097"/>
      <c r="W147" s="1097"/>
      <c r="X147" s="1097"/>
      <c r="Y147" s="1008">
        <f t="shared" si="145"/>
        <v>1125361332</v>
      </c>
      <c r="Z147" s="1008"/>
      <c r="AA147" s="1008"/>
      <c r="AB147" s="1008"/>
      <c r="AC147" s="1008">
        <f>371000000+890000000-104000000-133915719-12442500+39070000</f>
        <v>1049711781</v>
      </c>
      <c r="AD147" s="1008"/>
      <c r="AE147" s="1008"/>
      <c r="AF147" s="1008"/>
      <c r="AG147" s="1008"/>
      <c r="AH147" s="1008"/>
      <c r="AI147" s="1008"/>
      <c r="AJ147" s="1008"/>
      <c r="AK147" s="1008"/>
      <c r="AL147" s="1008"/>
      <c r="AM147" s="1008"/>
      <c r="AN147" s="1008">
        <f>114719551-39070000</f>
        <v>75649551</v>
      </c>
      <c r="AO147" s="1008"/>
      <c r="AP147" s="1008"/>
      <c r="AQ147" s="1008"/>
      <c r="AR147" s="1008"/>
      <c r="AS147" s="1008"/>
      <c r="AT147" s="984"/>
      <c r="AU147" s="1011">
        <f t="shared" si="103"/>
        <v>0.59279626288065845</v>
      </c>
      <c r="AV147" s="1008">
        <f t="shared" si="146"/>
        <v>667109992</v>
      </c>
      <c r="AW147" s="1008"/>
      <c r="AX147" s="1008"/>
      <c r="AY147" s="1008"/>
      <c r="AZ147" s="1008">
        <f>+'[17]SEPTIEMBRE 2015'!$M$130</f>
        <v>667109992</v>
      </c>
      <c r="BA147" s="1008"/>
      <c r="BB147" s="1008"/>
      <c r="BC147" s="1008"/>
      <c r="BD147" s="1008"/>
      <c r="BE147" s="1008"/>
      <c r="BF147" s="1008"/>
      <c r="BG147" s="1008"/>
      <c r="BH147" s="1008"/>
      <c r="BI147" s="1008"/>
      <c r="BJ147" s="1008"/>
      <c r="BK147" s="1008"/>
      <c r="BL147" s="1008"/>
      <c r="BM147" s="1008"/>
      <c r="BN147" s="1008"/>
      <c r="BO147" s="1008"/>
      <c r="BP147" s="1008"/>
      <c r="BQ147" s="1011">
        <f t="shared" si="105"/>
        <v>0.40720373711934155</v>
      </c>
      <c r="BR147" s="1008">
        <f t="shared" si="147"/>
        <v>458251340</v>
      </c>
      <c r="BS147" s="1008">
        <f t="shared" si="148"/>
        <v>0</v>
      </c>
      <c r="BT147" s="1008">
        <f t="shared" si="149"/>
        <v>0</v>
      </c>
      <c r="BU147" s="1008"/>
      <c r="BV147" s="1008">
        <f t="shared" si="150"/>
        <v>382601789</v>
      </c>
      <c r="BW147" s="1008">
        <f t="shared" si="150"/>
        <v>0</v>
      </c>
      <c r="BX147" s="1008">
        <f t="shared" si="151"/>
        <v>0</v>
      </c>
      <c r="BY147" s="1008">
        <f t="shared" si="151"/>
        <v>0</v>
      </c>
      <c r="BZ147" s="1008"/>
      <c r="CA147" s="1008">
        <f t="shared" si="152"/>
        <v>0</v>
      </c>
      <c r="CB147" s="1008">
        <f t="shared" si="152"/>
        <v>0</v>
      </c>
      <c r="CC147" s="1008">
        <f t="shared" si="152"/>
        <v>0</v>
      </c>
      <c r="CD147" s="1008">
        <f t="shared" si="152"/>
        <v>0</v>
      </c>
      <c r="CE147" s="1008">
        <f t="shared" si="152"/>
        <v>0</v>
      </c>
      <c r="CF147" s="1008">
        <f t="shared" si="152"/>
        <v>0</v>
      </c>
      <c r="CG147" s="1008">
        <f t="shared" si="152"/>
        <v>75649551</v>
      </c>
      <c r="CH147" s="1008">
        <f t="shared" si="152"/>
        <v>0</v>
      </c>
      <c r="CI147" s="1008">
        <f t="shared" si="152"/>
        <v>0</v>
      </c>
      <c r="CJ147" s="1008"/>
      <c r="CK147" s="1008">
        <f t="shared" si="161"/>
        <v>0</v>
      </c>
      <c r="CL147" s="1008">
        <f t="shared" si="153"/>
        <v>0</v>
      </c>
      <c r="CM147" s="1011">
        <f t="shared" si="113"/>
        <v>0.58813224266710451</v>
      </c>
      <c r="CN147" s="1008">
        <f t="shared" si="154"/>
        <v>661861284</v>
      </c>
      <c r="CO147" s="1008"/>
      <c r="CP147" s="1008"/>
      <c r="CQ147" s="1008"/>
      <c r="CR147" s="1008">
        <f>+'[17]SEPTIEMBRE 2015'!$H$128</f>
        <v>661861284</v>
      </c>
      <c r="CS147" s="1008"/>
      <c r="CT147" s="1008"/>
      <c r="CU147" s="1008"/>
      <c r="CV147" s="1008"/>
      <c r="CW147" s="1008"/>
      <c r="CX147" s="1008"/>
      <c r="CY147" s="1008"/>
      <c r="CZ147" s="1008"/>
      <c r="DA147" s="1008"/>
      <c r="DB147" s="1008"/>
      <c r="DC147" s="1008"/>
      <c r="DD147" s="1008"/>
      <c r="DE147" s="1008"/>
      <c r="DF147" s="1008"/>
      <c r="DG147" s="1008"/>
      <c r="DH147" s="1008"/>
      <c r="DI147" s="1011">
        <f t="shared" si="115"/>
        <v>0.41186775733289549</v>
      </c>
      <c r="DJ147" s="1008">
        <f t="shared" si="155"/>
        <v>463500048</v>
      </c>
      <c r="DK147" s="1008"/>
      <c r="DL147" s="1008"/>
      <c r="DM147" s="1008"/>
      <c r="DN147" s="1008">
        <f t="shared" si="156"/>
        <v>387850497</v>
      </c>
      <c r="DO147" s="1008">
        <f t="shared" si="156"/>
        <v>0</v>
      </c>
      <c r="DP147" s="1008">
        <f t="shared" si="156"/>
        <v>0</v>
      </c>
      <c r="DQ147" s="1008">
        <f t="shared" si="156"/>
        <v>0</v>
      </c>
      <c r="DR147" s="1008"/>
      <c r="DS147" s="1008">
        <f t="shared" si="157"/>
        <v>0</v>
      </c>
      <c r="DT147" s="1008">
        <f t="shared" si="157"/>
        <v>0</v>
      </c>
      <c r="DU147" s="1008"/>
      <c r="DV147" s="1008">
        <f t="shared" si="158"/>
        <v>0</v>
      </c>
      <c r="DW147" s="1008">
        <f t="shared" si="158"/>
        <v>0</v>
      </c>
      <c r="DX147" s="1008">
        <f t="shared" si="158"/>
        <v>0</v>
      </c>
      <c r="DY147" s="1008">
        <f t="shared" si="159"/>
        <v>75649551</v>
      </c>
      <c r="DZ147" s="1008">
        <f t="shared" si="159"/>
        <v>0</v>
      </c>
      <c r="EA147" s="1008">
        <f t="shared" si="159"/>
        <v>0</v>
      </c>
      <c r="EB147" s="1008">
        <f t="shared" si="159"/>
        <v>0</v>
      </c>
      <c r="EC147" s="1008"/>
      <c r="ED147" s="1008">
        <f t="shared" si="160"/>
        <v>0</v>
      </c>
    </row>
    <row r="148" spans="1:134" ht="52.5" customHeight="1" x14ac:dyDescent="0.25">
      <c r="A148" s="1560"/>
      <c r="B148" s="989"/>
      <c r="C148" s="852" t="s">
        <v>4501</v>
      </c>
      <c r="D148" s="1019" t="s">
        <v>4745</v>
      </c>
      <c r="E148" s="995">
        <v>111</v>
      </c>
      <c r="F148" s="1097" t="s">
        <v>4482</v>
      </c>
      <c r="G148" s="1400"/>
      <c r="H148" s="1061">
        <f t="shared" si="143"/>
        <v>239600131</v>
      </c>
      <c r="I148" s="1061">
        <f t="shared" si="144"/>
        <v>999869</v>
      </c>
      <c r="J148" s="1575">
        <v>184</v>
      </c>
      <c r="K148" s="1578">
        <v>317</v>
      </c>
      <c r="L148" s="1283">
        <v>198</v>
      </c>
      <c r="M148" s="1093">
        <v>0</v>
      </c>
      <c r="N148" s="1093">
        <v>0</v>
      </c>
      <c r="O148" s="1093">
        <v>0</v>
      </c>
      <c r="P148" s="1093">
        <v>0</v>
      </c>
      <c r="Q148" s="1093">
        <v>0</v>
      </c>
      <c r="R148" s="1093">
        <v>0</v>
      </c>
      <c r="S148" s="1097"/>
      <c r="T148" s="1097"/>
      <c r="U148" s="1097"/>
      <c r="V148" s="1097"/>
      <c r="W148" s="1097"/>
      <c r="X148" s="1097"/>
      <c r="Y148" s="1008">
        <f t="shared" si="145"/>
        <v>240600000</v>
      </c>
      <c r="Z148" s="1008"/>
      <c r="AA148" s="1008"/>
      <c r="AB148" s="1008"/>
      <c r="AC148" s="1008">
        <f>540600000-300000000</f>
        <v>240600000</v>
      </c>
      <c r="AD148" s="1008"/>
      <c r="AE148" s="1008"/>
      <c r="AF148" s="1008"/>
      <c r="AG148" s="1008"/>
      <c r="AH148" s="1008"/>
      <c r="AI148" s="1008"/>
      <c r="AJ148" s="1008"/>
      <c r="AK148" s="1008"/>
      <c r="AL148" s="1008"/>
      <c r="AM148" s="1008"/>
      <c r="AN148" s="1008"/>
      <c r="AO148" s="1008"/>
      <c r="AP148" s="1008"/>
      <c r="AQ148" s="1008"/>
      <c r="AR148" s="1008"/>
      <c r="AS148" s="1008"/>
      <c r="AT148" s="984"/>
      <c r="AU148" s="1011">
        <f t="shared" si="103"/>
        <v>0.99584426849542806</v>
      </c>
      <c r="AV148" s="1008">
        <f t="shared" si="146"/>
        <v>239600131</v>
      </c>
      <c r="AW148" s="1008"/>
      <c r="AX148" s="1008"/>
      <c r="AY148" s="1008"/>
      <c r="AZ148" s="1008">
        <f>+'[17]SEPTIEMBRE 2015'!$M$152</f>
        <v>239600131</v>
      </c>
      <c r="BA148" s="1008"/>
      <c r="BB148" s="1008"/>
      <c r="BC148" s="1008"/>
      <c r="BD148" s="1008"/>
      <c r="BE148" s="1008"/>
      <c r="BF148" s="1008"/>
      <c r="BG148" s="1008"/>
      <c r="BH148" s="1008"/>
      <c r="BI148" s="1008"/>
      <c r="BJ148" s="1008"/>
      <c r="BK148" s="1008"/>
      <c r="BL148" s="1008"/>
      <c r="BM148" s="1008"/>
      <c r="BN148" s="1008"/>
      <c r="BO148" s="1008"/>
      <c r="BP148" s="1008"/>
      <c r="BQ148" s="1011">
        <f t="shared" si="105"/>
        <v>4.1557315045719356E-3</v>
      </c>
      <c r="BR148" s="1008">
        <f t="shared" si="147"/>
        <v>999869</v>
      </c>
      <c r="BS148" s="1008">
        <f t="shared" si="148"/>
        <v>0</v>
      </c>
      <c r="BT148" s="1008">
        <f t="shared" si="149"/>
        <v>0</v>
      </c>
      <c r="BU148" s="1008"/>
      <c r="BV148" s="1008">
        <f t="shared" si="150"/>
        <v>999869</v>
      </c>
      <c r="BW148" s="1008">
        <f t="shared" si="150"/>
        <v>0</v>
      </c>
      <c r="BX148" s="1008">
        <f t="shared" si="151"/>
        <v>0</v>
      </c>
      <c r="BY148" s="1008">
        <f t="shared" si="151"/>
        <v>0</v>
      </c>
      <c r="BZ148" s="1008"/>
      <c r="CA148" s="1008">
        <f t="shared" si="152"/>
        <v>0</v>
      </c>
      <c r="CB148" s="1008">
        <f t="shared" si="152"/>
        <v>0</v>
      </c>
      <c r="CC148" s="1008">
        <f t="shared" si="152"/>
        <v>0</v>
      </c>
      <c r="CD148" s="1008">
        <f t="shared" si="152"/>
        <v>0</v>
      </c>
      <c r="CE148" s="1008">
        <f t="shared" si="152"/>
        <v>0</v>
      </c>
      <c r="CF148" s="1008">
        <f t="shared" si="152"/>
        <v>0</v>
      </c>
      <c r="CG148" s="1008">
        <f t="shared" si="152"/>
        <v>0</v>
      </c>
      <c r="CH148" s="1008">
        <f t="shared" si="152"/>
        <v>0</v>
      </c>
      <c r="CI148" s="1008">
        <f t="shared" si="152"/>
        <v>0</v>
      </c>
      <c r="CJ148" s="1008"/>
      <c r="CK148" s="1008">
        <f t="shared" si="161"/>
        <v>0</v>
      </c>
      <c r="CL148" s="1008">
        <f t="shared" si="153"/>
        <v>0</v>
      </c>
      <c r="CM148" s="1011">
        <f t="shared" si="113"/>
        <v>0.99584426849542806</v>
      </c>
      <c r="CN148" s="1008">
        <f t="shared" si="154"/>
        <v>239600131</v>
      </c>
      <c r="CO148" s="1008"/>
      <c r="CP148" s="1008"/>
      <c r="CQ148" s="1008"/>
      <c r="CR148" s="1008">
        <f>+'[15]JULIO 2015'!$H$138</f>
        <v>239600131</v>
      </c>
      <c r="CS148" s="1008"/>
      <c r="CT148" s="1008"/>
      <c r="CU148" s="1008"/>
      <c r="CV148" s="1008"/>
      <c r="CW148" s="1008"/>
      <c r="CX148" s="1008"/>
      <c r="CY148" s="1008"/>
      <c r="CZ148" s="1008"/>
      <c r="DA148" s="1008"/>
      <c r="DB148" s="1008"/>
      <c r="DC148" s="1008"/>
      <c r="DD148" s="1008"/>
      <c r="DE148" s="1008"/>
      <c r="DF148" s="1008"/>
      <c r="DG148" s="1008"/>
      <c r="DH148" s="1008"/>
      <c r="DI148" s="1011">
        <f t="shared" si="115"/>
        <v>4.1557315045719356E-3</v>
      </c>
      <c r="DJ148" s="1008">
        <f t="shared" si="155"/>
        <v>999869</v>
      </c>
      <c r="DK148" s="1008"/>
      <c r="DL148" s="1008"/>
      <c r="DM148" s="1008"/>
      <c r="DN148" s="1008">
        <f t="shared" si="156"/>
        <v>999869</v>
      </c>
      <c r="DO148" s="1008">
        <f t="shared" si="156"/>
        <v>0</v>
      </c>
      <c r="DP148" s="1008">
        <f t="shared" si="156"/>
        <v>0</v>
      </c>
      <c r="DQ148" s="1008">
        <f t="shared" si="156"/>
        <v>0</v>
      </c>
      <c r="DR148" s="1008"/>
      <c r="DS148" s="1008">
        <f t="shared" si="157"/>
        <v>0</v>
      </c>
      <c r="DT148" s="1008">
        <f t="shared" si="157"/>
        <v>0</v>
      </c>
      <c r="DU148" s="1008"/>
      <c r="DV148" s="1008">
        <f t="shared" si="158"/>
        <v>0</v>
      </c>
      <c r="DW148" s="1008">
        <f t="shared" si="158"/>
        <v>0</v>
      </c>
      <c r="DX148" s="1008">
        <f t="shared" si="158"/>
        <v>0</v>
      </c>
      <c r="DY148" s="1008">
        <f t="shared" si="159"/>
        <v>0</v>
      </c>
      <c r="DZ148" s="1008">
        <f t="shared" si="159"/>
        <v>0</v>
      </c>
      <c r="EA148" s="1008">
        <f t="shared" si="159"/>
        <v>0</v>
      </c>
      <c r="EB148" s="1008">
        <f t="shared" si="159"/>
        <v>0</v>
      </c>
      <c r="EC148" s="1008"/>
      <c r="ED148" s="1008">
        <f t="shared" si="160"/>
        <v>0</v>
      </c>
    </row>
    <row r="149" spans="1:134" s="203" customFormat="1" ht="61.5" customHeight="1" x14ac:dyDescent="0.25">
      <c r="A149" s="1560"/>
      <c r="B149" s="989"/>
      <c r="C149" s="1081" t="s">
        <v>4502</v>
      </c>
      <c r="D149" s="1019" t="s">
        <v>4484</v>
      </c>
      <c r="E149" s="997">
        <v>111</v>
      </c>
      <c r="F149" s="1097" t="s">
        <v>4482</v>
      </c>
      <c r="G149" s="1400"/>
      <c r="H149" s="1061">
        <f t="shared" si="143"/>
        <v>0</v>
      </c>
      <c r="I149" s="1061">
        <f t="shared" si="144"/>
        <v>0</v>
      </c>
      <c r="J149" s="1577"/>
      <c r="K149" s="1580"/>
      <c r="L149" s="1284"/>
      <c r="M149" s="1075">
        <v>0</v>
      </c>
      <c r="N149" s="1075">
        <v>0</v>
      </c>
      <c r="O149" s="1075">
        <v>0</v>
      </c>
      <c r="P149" s="1075"/>
      <c r="Q149" s="1075"/>
      <c r="R149" s="1075"/>
      <c r="S149" s="1097"/>
      <c r="T149" s="1097"/>
      <c r="U149" s="1097"/>
      <c r="V149" s="1097"/>
      <c r="W149" s="1097"/>
      <c r="X149" s="1097"/>
      <c r="Y149" s="1067">
        <f t="shared" si="145"/>
        <v>0</v>
      </c>
      <c r="Z149" s="1067"/>
      <c r="AA149" s="1067"/>
      <c r="AB149" s="1067"/>
      <c r="AC149" s="1067">
        <f>2968000000-968000000-897000000-103000000-1000000000</f>
        <v>0</v>
      </c>
      <c r="AD149" s="1067"/>
      <c r="AE149" s="1067"/>
      <c r="AF149" s="1067"/>
      <c r="AG149" s="1067"/>
      <c r="AH149" s="1067"/>
      <c r="AI149" s="1067"/>
      <c r="AJ149" s="1067"/>
      <c r="AK149" s="1067"/>
      <c r="AL149" s="1067"/>
      <c r="AM149" s="1067"/>
      <c r="AN149" s="1067"/>
      <c r="AO149" s="1067"/>
      <c r="AP149" s="1067"/>
      <c r="AQ149" s="1067"/>
      <c r="AR149" s="1067"/>
      <c r="AS149" s="1067"/>
      <c r="AT149" s="1089"/>
      <c r="AU149" s="1082" t="e">
        <f t="shared" si="103"/>
        <v>#DIV/0!</v>
      </c>
      <c r="AV149" s="1067">
        <f t="shared" si="146"/>
        <v>0</v>
      </c>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82" t="e">
        <f t="shared" si="105"/>
        <v>#DIV/0!</v>
      </c>
      <c r="BR149" s="1067">
        <f t="shared" si="147"/>
        <v>0</v>
      </c>
      <c r="BS149" s="1067">
        <f t="shared" si="148"/>
        <v>0</v>
      </c>
      <c r="BT149" s="1067">
        <f t="shared" si="149"/>
        <v>0</v>
      </c>
      <c r="BU149" s="1067"/>
      <c r="BV149" s="1067">
        <f t="shared" si="150"/>
        <v>0</v>
      </c>
      <c r="BW149" s="1067">
        <f t="shared" si="150"/>
        <v>0</v>
      </c>
      <c r="BX149" s="1067">
        <f t="shared" si="151"/>
        <v>0</v>
      </c>
      <c r="BY149" s="1067">
        <f t="shared" si="151"/>
        <v>0</v>
      </c>
      <c r="BZ149" s="1067"/>
      <c r="CA149" s="1067">
        <f t="shared" si="152"/>
        <v>0</v>
      </c>
      <c r="CB149" s="1067">
        <f t="shared" si="152"/>
        <v>0</v>
      </c>
      <c r="CC149" s="1067">
        <f t="shared" si="152"/>
        <v>0</v>
      </c>
      <c r="CD149" s="1067">
        <f t="shared" si="152"/>
        <v>0</v>
      </c>
      <c r="CE149" s="1067">
        <f t="shared" si="152"/>
        <v>0</v>
      </c>
      <c r="CF149" s="1067">
        <f t="shared" si="152"/>
        <v>0</v>
      </c>
      <c r="CG149" s="1067">
        <f t="shared" si="152"/>
        <v>0</v>
      </c>
      <c r="CH149" s="1067">
        <f t="shared" si="152"/>
        <v>0</v>
      </c>
      <c r="CI149" s="1067">
        <f t="shared" si="152"/>
        <v>0</v>
      </c>
      <c r="CJ149" s="1067"/>
      <c r="CK149" s="1067">
        <f t="shared" si="161"/>
        <v>0</v>
      </c>
      <c r="CL149" s="1067">
        <f t="shared" si="153"/>
        <v>0</v>
      </c>
      <c r="CM149" s="1082" t="e">
        <f t="shared" si="113"/>
        <v>#DIV/0!</v>
      </c>
      <c r="CN149" s="1067">
        <f t="shared" si="154"/>
        <v>0</v>
      </c>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82" t="e">
        <f t="shared" si="115"/>
        <v>#DIV/0!</v>
      </c>
      <c r="DJ149" s="1067">
        <f t="shared" si="155"/>
        <v>0</v>
      </c>
      <c r="DK149" s="1067"/>
      <c r="DL149" s="1067"/>
      <c r="DM149" s="1067"/>
      <c r="DN149" s="1067">
        <f t="shared" si="156"/>
        <v>0</v>
      </c>
      <c r="DO149" s="1067">
        <f t="shared" si="156"/>
        <v>0</v>
      </c>
      <c r="DP149" s="1067">
        <f t="shared" si="156"/>
        <v>0</v>
      </c>
      <c r="DQ149" s="1067">
        <f t="shared" si="156"/>
        <v>0</v>
      </c>
      <c r="DR149" s="1067"/>
      <c r="DS149" s="1067">
        <f t="shared" si="157"/>
        <v>0</v>
      </c>
      <c r="DT149" s="1067">
        <f t="shared" si="157"/>
        <v>0</v>
      </c>
      <c r="DU149" s="1067"/>
      <c r="DV149" s="1067">
        <f t="shared" si="158"/>
        <v>0</v>
      </c>
      <c r="DW149" s="1067">
        <f t="shared" si="158"/>
        <v>0</v>
      </c>
      <c r="DX149" s="1067">
        <f t="shared" si="158"/>
        <v>0</v>
      </c>
      <c r="DY149" s="1067">
        <f t="shared" si="159"/>
        <v>0</v>
      </c>
      <c r="DZ149" s="1067">
        <f t="shared" si="159"/>
        <v>0</v>
      </c>
      <c r="EA149" s="1067">
        <f t="shared" si="159"/>
        <v>0</v>
      </c>
      <c r="EB149" s="1067">
        <f t="shared" si="159"/>
        <v>0</v>
      </c>
      <c r="EC149" s="1067"/>
      <c r="ED149" s="1067">
        <f t="shared" si="160"/>
        <v>0</v>
      </c>
    </row>
    <row r="150" spans="1:134" ht="64.5" customHeight="1" x14ac:dyDescent="0.25">
      <c r="A150" s="1560"/>
      <c r="B150" s="989"/>
      <c r="C150" s="852" t="s">
        <v>4503</v>
      </c>
      <c r="D150" s="1019" t="s">
        <v>4483</v>
      </c>
      <c r="E150" s="995">
        <v>111</v>
      </c>
      <c r="F150" s="1097" t="s">
        <v>4742</v>
      </c>
      <c r="G150" s="1400"/>
      <c r="H150" s="1061">
        <f t="shared" si="143"/>
        <v>55483385</v>
      </c>
      <c r="I150" s="1061">
        <f t="shared" si="144"/>
        <v>16631615</v>
      </c>
      <c r="J150" s="1399">
        <v>3</v>
      </c>
      <c r="K150" s="1283" t="s">
        <v>4928</v>
      </c>
      <c r="L150" s="1283">
        <v>3</v>
      </c>
      <c r="M150" s="1091"/>
      <c r="N150" s="1091"/>
      <c r="O150" s="1091"/>
      <c r="P150" s="1093">
        <v>0</v>
      </c>
      <c r="Q150" s="1093">
        <v>0</v>
      </c>
      <c r="R150" s="1093">
        <v>0</v>
      </c>
      <c r="S150" s="1097"/>
      <c r="T150" s="1097"/>
      <c r="U150" s="1097"/>
      <c r="V150" s="1097"/>
      <c r="W150" s="1097"/>
      <c r="X150" s="1097"/>
      <c r="Y150" s="1008">
        <f t="shared" si="145"/>
        <v>72115000</v>
      </c>
      <c r="Z150" s="1008"/>
      <c r="AA150" s="1008"/>
      <c r="AB150" s="1008"/>
      <c r="AC150" s="1008"/>
      <c r="AD150" s="1008"/>
      <c r="AE150" s="1008"/>
      <c r="AF150" s="1008"/>
      <c r="AG150" s="1008"/>
      <c r="AH150" s="1008"/>
      <c r="AI150" s="1008"/>
      <c r="AJ150" s="1008"/>
      <c r="AK150" s="1008"/>
      <c r="AL150" s="1008"/>
      <c r="AM150" s="1008"/>
      <c r="AN150" s="1008"/>
      <c r="AO150" s="1008"/>
      <c r="AP150" s="1008"/>
      <c r="AQ150" s="1008"/>
      <c r="AR150" s="1008"/>
      <c r="AS150" s="1008">
        <f>587519551+2000000+10000000+37000000-597519551+46500000-13385000</f>
        <v>72115000</v>
      </c>
      <c r="AT150" s="984"/>
      <c r="AU150" s="1011">
        <f t="shared" si="103"/>
        <v>1</v>
      </c>
      <c r="AV150" s="1008">
        <f t="shared" si="146"/>
        <v>72115000</v>
      </c>
      <c r="AW150" s="1008"/>
      <c r="AX150" s="1008"/>
      <c r="AY150" s="1008"/>
      <c r="AZ150" s="1008"/>
      <c r="BA150" s="1008"/>
      <c r="BB150" s="1008"/>
      <c r="BC150" s="1008"/>
      <c r="BD150" s="1008"/>
      <c r="BE150" s="1008"/>
      <c r="BF150" s="1008"/>
      <c r="BG150" s="1008"/>
      <c r="BH150" s="1008"/>
      <c r="BI150" s="1008"/>
      <c r="BJ150" s="1008"/>
      <c r="BK150" s="1008"/>
      <c r="BL150" s="1008"/>
      <c r="BM150" s="1008"/>
      <c r="BN150" s="1008"/>
      <c r="BO150" s="1008"/>
      <c r="BP150" s="1008">
        <f>+'[16]AGOSTO 2015'!$G$156</f>
        <v>72115000</v>
      </c>
      <c r="BQ150" s="1011">
        <f t="shared" si="105"/>
        <v>0</v>
      </c>
      <c r="BR150" s="1008">
        <f t="shared" si="147"/>
        <v>0</v>
      </c>
      <c r="BS150" s="1008">
        <f t="shared" si="148"/>
        <v>0</v>
      </c>
      <c r="BT150" s="1008">
        <f t="shared" si="149"/>
        <v>0</v>
      </c>
      <c r="BU150" s="1008"/>
      <c r="BV150" s="1008">
        <f t="shared" si="150"/>
        <v>0</v>
      </c>
      <c r="BW150" s="1008">
        <f t="shared" si="150"/>
        <v>0</v>
      </c>
      <c r="BX150" s="1008">
        <f t="shared" si="151"/>
        <v>0</v>
      </c>
      <c r="BY150" s="1008">
        <f t="shared" si="151"/>
        <v>0</v>
      </c>
      <c r="BZ150" s="1008"/>
      <c r="CA150" s="1008">
        <f t="shared" si="152"/>
        <v>0</v>
      </c>
      <c r="CB150" s="1008">
        <f t="shared" si="152"/>
        <v>0</v>
      </c>
      <c r="CC150" s="1008">
        <f t="shared" si="152"/>
        <v>0</v>
      </c>
      <c r="CD150" s="1008">
        <f t="shared" si="152"/>
        <v>0</v>
      </c>
      <c r="CE150" s="1008">
        <f t="shared" si="152"/>
        <v>0</v>
      </c>
      <c r="CF150" s="1008">
        <f t="shared" si="152"/>
        <v>0</v>
      </c>
      <c r="CG150" s="1008">
        <f t="shared" si="152"/>
        <v>0</v>
      </c>
      <c r="CH150" s="1008">
        <f t="shared" si="152"/>
        <v>0</v>
      </c>
      <c r="CI150" s="1008">
        <f t="shared" si="152"/>
        <v>0</v>
      </c>
      <c r="CJ150" s="1008"/>
      <c r="CK150" s="1008">
        <f t="shared" si="161"/>
        <v>0</v>
      </c>
      <c r="CL150" s="1008">
        <f t="shared" si="153"/>
        <v>0</v>
      </c>
      <c r="CM150" s="1011">
        <f t="shared" si="113"/>
        <v>0.7693737086597795</v>
      </c>
      <c r="CN150" s="1008">
        <f t="shared" si="154"/>
        <v>55483385</v>
      </c>
      <c r="CO150" s="1008"/>
      <c r="CP150" s="1008"/>
      <c r="CQ150" s="1008"/>
      <c r="CR150" s="1008"/>
      <c r="CS150" s="1008"/>
      <c r="CT150" s="1008"/>
      <c r="CU150" s="1008"/>
      <c r="CV150" s="1008"/>
      <c r="CW150" s="1008"/>
      <c r="CX150" s="1008"/>
      <c r="CY150" s="1008"/>
      <c r="CZ150" s="1008"/>
      <c r="DA150" s="1008"/>
      <c r="DB150" s="1008"/>
      <c r="DC150" s="1008"/>
      <c r="DD150" s="1008"/>
      <c r="DE150" s="1008"/>
      <c r="DF150" s="1008"/>
      <c r="DG150" s="1008"/>
      <c r="DH150" s="1008">
        <f>+'[18]OCTUBRE 2015'!$H$167</f>
        <v>55483385</v>
      </c>
      <c r="DI150" s="1011">
        <f t="shared" si="115"/>
        <v>0.2306262913402205</v>
      </c>
      <c r="DJ150" s="1008">
        <f t="shared" si="155"/>
        <v>16631615</v>
      </c>
      <c r="DK150" s="1008"/>
      <c r="DL150" s="1008"/>
      <c r="DM150" s="1008"/>
      <c r="DN150" s="1008">
        <f t="shared" si="156"/>
        <v>0</v>
      </c>
      <c r="DO150" s="1008">
        <f t="shared" si="156"/>
        <v>0</v>
      </c>
      <c r="DP150" s="1008">
        <f t="shared" si="156"/>
        <v>0</v>
      </c>
      <c r="DQ150" s="1008">
        <f t="shared" si="156"/>
        <v>0</v>
      </c>
      <c r="DR150" s="1008"/>
      <c r="DS150" s="1008">
        <f t="shared" si="157"/>
        <v>0</v>
      </c>
      <c r="DT150" s="1008">
        <f t="shared" si="157"/>
        <v>0</v>
      </c>
      <c r="DU150" s="1008"/>
      <c r="DV150" s="1008">
        <f t="shared" si="158"/>
        <v>0</v>
      </c>
      <c r="DW150" s="1008">
        <f t="shared" si="158"/>
        <v>0</v>
      </c>
      <c r="DX150" s="1008">
        <f t="shared" si="158"/>
        <v>0</v>
      </c>
      <c r="DY150" s="1008">
        <f t="shared" si="159"/>
        <v>0</v>
      </c>
      <c r="DZ150" s="1008">
        <f t="shared" si="159"/>
        <v>0</v>
      </c>
      <c r="EA150" s="1008">
        <f t="shared" si="159"/>
        <v>0</v>
      </c>
      <c r="EB150" s="1008">
        <f t="shared" si="159"/>
        <v>0</v>
      </c>
      <c r="EC150" s="1008"/>
      <c r="ED150" s="1008">
        <f t="shared" si="160"/>
        <v>16631615</v>
      </c>
    </row>
    <row r="151" spans="1:134" s="203" customFormat="1" ht="33.75" customHeight="1" x14ac:dyDescent="0.25">
      <c r="A151" s="1560"/>
      <c r="B151" s="989"/>
      <c r="C151" s="1081" t="s">
        <v>4710</v>
      </c>
      <c r="D151" s="1019" t="s">
        <v>4711</v>
      </c>
      <c r="E151" s="997">
        <v>111</v>
      </c>
      <c r="F151" s="1097" t="s">
        <v>4482</v>
      </c>
      <c r="G151" s="1400"/>
      <c r="H151" s="1061">
        <f t="shared" si="143"/>
        <v>0</v>
      </c>
      <c r="I151" s="1061">
        <f t="shared" si="144"/>
        <v>0</v>
      </c>
      <c r="J151" s="1401"/>
      <c r="K151" s="1284"/>
      <c r="L151" s="1284"/>
      <c r="M151" s="1075">
        <v>0</v>
      </c>
      <c r="N151" s="1075">
        <v>0</v>
      </c>
      <c r="O151" s="1075">
        <v>0</v>
      </c>
      <c r="P151" s="1075"/>
      <c r="Q151" s="1075"/>
      <c r="R151" s="1075"/>
      <c r="S151" s="1097"/>
      <c r="T151" s="1097"/>
      <c r="U151" s="1097"/>
      <c r="V151" s="1097"/>
      <c r="W151" s="1097"/>
      <c r="X151" s="1097"/>
      <c r="Y151" s="1067">
        <f t="shared" si="145"/>
        <v>0</v>
      </c>
      <c r="Z151" s="1067"/>
      <c r="AA151" s="1067"/>
      <c r="AB151" s="1067"/>
      <c r="AC151" s="1067">
        <f>400000000-400000000</f>
        <v>0</v>
      </c>
      <c r="AD151" s="1067"/>
      <c r="AE151" s="1067"/>
      <c r="AF151" s="1067"/>
      <c r="AG151" s="1067"/>
      <c r="AH151" s="1067"/>
      <c r="AI151" s="1067"/>
      <c r="AJ151" s="1067"/>
      <c r="AK151" s="1067"/>
      <c r="AL151" s="1067"/>
      <c r="AM151" s="1067"/>
      <c r="AN151" s="1067"/>
      <c r="AO151" s="1067"/>
      <c r="AP151" s="1067"/>
      <c r="AQ151" s="1067"/>
      <c r="AR151" s="1067"/>
      <c r="AS151" s="1067"/>
      <c r="AT151" s="1090"/>
      <c r="AU151" s="1082" t="e">
        <f t="shared" si="103"/>
        <v>#DIV/0!</v>
      </c>
      <c r="AV151" s="1067">
        <f t="shared" si="146"/>
        <v>0</v>
      </c>
      <c r="AW151" s="1067"/>
      <c r="AX151" s="1067"/>
      <c r="AY151" s="1067"/>
      <c r="AZ151" s="1067"/>
      <c r="BA151" s="1067"/>
      <c r="BB151" s="1067"/>
      <c r="BC151" s="1067"/>
      <c r="BD151" s="1067"/>
      <c r="BE151" s="1067"/>
      <c r="BF151" s="1067"/>
      <c r="BG151" s="1067"/>
      <c r="BH151" s="1067"/>
      <c r="BI151" s="1067"/>
      <c r="BJ151" s="1067"/>
      <c r="BK151" s="1067"/>
      <c r="BL151" s="1067"/>
      <c r="BM151" s="1067"/>
      <c r="BN151" s="1067"/>
      <c r="BO151" s="1067"/>
      <c r="BP151" s="1067"/>
      <c r="BQ151" s="1082" t="e">
        <f t="shared" si="105"/>
        <v>#DIV/0!</v>
      </c>
      <c r="BR151" s="1067">
        <f t="shared" si="147"/>
        <v>0</v>
      </c>
      <c r="BS151" s="1067"/>
      <c r="BT151" s="1067"/>
      <c r="BU151" s="1067"/>
      <c r="BV151" s="1067">
        <f t="shared" ref="BV151:BW194" si="162">AC151-AZ151</f>
        <v>0</v>
      </c>
      <c r="BW151" s="1067"/>
      <c r="BX151" s="1067"/>
      <c r="BY151" s="1067"/>
      <c r="BZ151" s="1067"/>
      <c r="CA151" s="1067"/>
      <c r="CB151" s="1067"/>
      <c r="CC151" s="1067"/>
      <c r="CD151" s="1067"/>
      <c r="CE151" s="1067"/>
      <c r="CF151" s="1067"/>
      <c r="CG151" s="1067"/>
      <c r="CH151" s="1067"/>
      <c r="CI151" s="1067"/>
      <c r="CJ151" s="1067"/>
      <c r="CK151" s="1067"/>
      <c r="CL151" s="1067"/>
      <c r="CM151" s="1082" t="e">
        <f t="shared" si="113"/>
        <v>#DIV/0!</v>
      </c>
      <c r="CN151" s="1067">
        <f t="shared" si="154"/>
        <v>0</v>
      </c>
      <c r="CO151" s="1067"/>
      <c r="CP151" s="1067"/>
      <c r="CQ151" s="1067"/>
      <c r="CR151" s="1067"/>
      <c r="CS151" s="1067"/>
      <c r="CT151" s="1067"/>
      <c r="CU151" s="1067"/>
      <c r="CV151" s="1067"/>
      <c r="CW151" s="1067"/>
      <c r="CX151" s="1067"/>
      <c r="CY151" s="1067"/>
      <c r="CZ151" s="1067"/>
      <c r="DA151" s="1067"/>
      <c r="DB151" s="1067"/>
      <c r="DC151" s="1067"/>
      <c r="DD151" s="1067"/>
      <c r="DE151" s="1067"/>
      <c r="DF151" s="1067"/>
      <c r="DG151" s="1067"/>
      <c r="DH151" s="1067"/>
      <c r="DI151" s="1082" t="e">
        <f t="shared" si="115"/>
        <v>#DIV/0!</v>
      </c>
      <c r="DJ151" s="1067">
        <f t="shared" si="155"/>
        <v>0</v>
      </c>
      <c r="DK151" s="1067"/>
      <c r="DL151" s="1067"/>
      <c r="DM151" s="1067"/>
      <c r="DN151" s="1067">
        <f t="shared" ref="DN151:DQ194" si="163">AC151-CR151</f>
        <v>0</v>
      </c>
      <c r="DO151" s="1067"/>
      <c r="DP151" s="1067"/>
      <c r="DQ151" s="1067"/>
      <c r="DR151" s="1067"/>
      <c r="DS151" s="1067"/>
      <c r="DT151" s="1067"/>
      <c r="DU151" s="1067"/>
      <c r="DV151" s="1067"/>
      <c r="DW151" s="1067"/>
      <c r="DX151" s="1067"/>
      <c r="DY151" s="1067"/>
      <c r="DZ151" s="1067"/>
      <c r="EA151" s="1067"/>
      <c r="EB151" s="1067"/>
      <c r="EC151" s="1067"/>
      <c r="ED151" s="1067"/>
    </row>
    <row r="152" spans="1:134" ht="64.5" customHeight="1" x14ac:dyDescent="0.25">
      <c r="A152" s="1560"/>
      <c r="B152" s="989" t="s">
        <v>4450</v>
      </c>
      <c r="C152" s="852" t="s">
        <v>4513</v>
      </c>
      <c r="D152" s="1019" t="s">
        <v>4549</v>
      </c>
      <c r="E152" s="995">
        <v>211</v>
      </c>
      <c r="F152" s="1097" t="s">
        <v>4482</v>
      </c>
      <c r="G152" s="1400"/>
      <c r="H152" s="1061">
        <f t="shared" si="143"/>
        <v>189556618</v>
      </c>
      <c r="I152" s="1061">
        <f t="shared" si="144"/>
        <v>0</v>
      </c>
      <c r="J152" s="1399">
        <v>117</v>
      </c>
      <c r="K152" s="1283">
        <v>127</v>
      </c>
      <c r="L152" s="1283">
        <v>118</v>
      </c>
      <c r="M152" s="1093">
        <v>0</v>
      </c>
      <c r="N152" s="1093">
        <v>0</v>
      </c>
      <c r="O152" s="1093">
        <v>0</v>
      </c>
      <c r="P152" s="1093">
        <v>100</v>
      </c>
      <c r="Q152" s="1093">
        <v>100</v>
      </c>
      <c r="R152" s="1093">
        <v>100</v>
      </c>
      <c r="S152" s="1097"/>
      <c r="T152" s="1097"/>
      <c r="U152" s="1097"/>
      <c r="V152" s="1097"/>
      <c r="W152" s="1097"/>
      <c r="X152" s="1097"/>
      <c r="Y152" s="1008">
        <f t="shared" si="145"/>
        <v>189556618</v>
      </c>
      <c r="Z152" s="1008"/>
      <c r="AA152" s="1008"/>
      <c r="AB152" s="1008"/>
      <c r="AC152" s="1008">
        <f>500000000-100000000-210443382</f>
        <v>189556618</v>
      </c>
      <c r="AD152" s="1008"/>
      <c r="AE152" s="1008"/>
      <c r="AF152" s="1008"/>
      <c r="AG152" s="1008"/>
      <c r="AH152" s="1008"/>
      <c r="AI152" s="1008"/>
      <c r="AJ152" s="1008"/>
      <c r="AK152" s="1008"/>
      <c r="AL152" s="1008"/>
      <c r="AM152" s="1008"/>
      <c r="AN152" s="1008"/>
      <c r="AO152" s="1008"/>
      <c r="AP152" s="1008"/>
      <c r="AQ152" s="1008"/>
      <c r="AR152" s="1008"/>
      <c r="AS152" s="1008"/>
      <c r="AU152" s="1011">
        <f t="shared" si="103"/>
        <v>1</v>
      </c>
      <c r="AV152" s="1008">
        <f t="shared" si="146"/>
        <v>189556618</v>
      </c>
      <c r="AW152" s="1008"/>
      <c r="AX152" s="1008"/>
      <c r="AY152" s="1008"/>
      <c r="AZ152" s="1008">
        <v>189556618</v>
      </c>
      <c r="BA152" s="1008"/>
      <c r="BB152" s="1008"/>
      <c r="BC152" s="1008"/>
      <c r="BD152" s="1008"/>
      <c r="BE152" s="1008"/>
      <c r="BF152" s="1008"/>
      <c r="BG152" s="1008"/>
      <c r="BH152" s="1008"/>
      <c r="BI152" s="1008"/>
      <c r="BJ152" s="1008"/>
      <c r="BK152" s="1008"/>
      <c r="BL152" s="1008"/>
      <c r="BM152" s="1008"/>
      <c r="BN152" s="1008"/>
      <c r="BO152" s="1008"/>
      <c r="BP152" s="1008"/>
      <c r="BQ152" s="1011">
        <f t="shared" si="105"/>
        <v>0</v>
      </c>
      <c r="BR152" s="1008">
        <f t="shared" si="147"/>
        <v>0</v>
      </c>
      <c r="BS152" s="1008">
        <f t="shared" ref="BS152:BS173" si="164">+Z152-AW152</f>
        <v>0</v>
      </c>
      <c r="BT152" s="1008">
        <f t="shared" ref="BT152:BT173" si="165">AA152-AX152</f>
        <v>0</v>
      </c>
      <c r="BU152" s="1008"/>
      <c r="BV152" s="1008">
        <f t="shared" si="162"/>
        <v>0</v>
      </c>
      <c r="BW152" s="1008">
        <f t="shared" si="162"/>
        <v>0</v>
      </c>
      <c r="BX152" s="1008">
        <f t="shared" ref="BX152:BY173" si="166">+AE152-BB152</f>
        <v>0</v>
      </c>
      <c r="BY152" s="1008">
        <f t="shared" si="166"/>
        <v>0</v>
      </c>
      <c r="BZ152" s="1008"/>
      <c r="CA152" s="1008">
        <f t="shared" ref="CA152:CI173" si="167">+AH152-BE152</f>
        <v>0</v>
      </c>
      <c r="CB152" s="1008">
        <f t="shared" si="167"/>
        <v>0</v>
      </c>
      <c r="CC152" s="1008">
        <f t="shared" si="167"/>
        <v>0</v>
      </c>
      <c r="CD152" s="1008">
        <f t="shared" si="167"/>
        <v>0</v>
      </c>
      <c r="CE152" s="1008">
        <f t="shared" si="167"/>
        <v>0</v>
      </c>
      <c r="CF152" s="1008">
        <f t="shared" si="167"/>
        <v>0</v>
      </c>
      <c r="CG152" s="1008">
        <f t="shared" si="167"/>
        <v>0</v>
      </c>
      <c r="CH152" s="1008">
        <f t="shared" si="167"/>
        <v>0</v>
      </c>
      <c r="CI152" s="1008">
        <f t="shared" si="167"/>
        <v>0</v>
      </c>
      <c r="CJ152" s="1008"/>
      <c r="CK152" s="1008">
        <f t="shared" ref="CK152:CL173" si="168">+AR152-BO152</f>
        <v>0</v>
      </c>
      <c r="CL152" s="1008">
        <f t="shared" si="168"/>
        <v>0</v>
      </c>
      <c r="CM152" s="1011">
        <f t="shared" si="113"/>
        <v>1</v>
      </c>
      <c r="CN152" s="1008">
        <f t="shared" si="154"/>
        <v>189556618</v>
      </c>
      <c r="CO152" s="1008"/>
      <c r="CP152" s="1008"/>
      <c r="CQ152" s="1008"/>
      <c r="CR152" s="1008">
        <f>+'[14]JUNIO 2015'!$H$171</f>
        <v>189556618</v>
      </c>
      <c r="CS152" s="1008"/>
      <c r="CT152" s="1008"/>
      <c r="CU152" s="1008"/>
      <c r="CV152" s="1008"/>
      <c r="CW152" s="1008"/>
      <c r="CX152" s="1008"/>
      <c r="CY152" s="1008"/>
      <c r="CZ152" s="1008"/>
      <c r="DA152" s="1008"/>
      <c r="DB152" s="1008"/>
      <c r="DC152" s="1008"/>
      <c r="DD152" s="1008"/>
      <c r="DE152" s="1008"/>
      <c r="DF152" s="1008"/>
      <c r="DG152" s="1008"/>
      <c r="DH152" s="1008"/>
      <c r="DI152" s="1011">
        <f t="shared" si="115"/>
        <v>0</v>
      </c>
      <c r="DJ152" s="1008">
        <f t="shared" si="155"/>
        <v>0</v>
      </c>
      <c r="DK152" s="1008"/>
      <c r="DL152" s="1008"/>
      <c r="DM152" s="1008"/>
      <c r="DN152" s="1008">
        <f t="shared" si="163"/>
        <v>0</v>
      </c>
      <c r="DO152" s="1008">
        <f t="shared" si="163"/>
        <v>0</v>
      </c>
      <c r="DP152" s="1008">
        <f t="shared" si="163"/>
        <v>0</v>
      </c>
      <c r="DQ152" s="1008">
        <f t="shared" si="163"/>
        <v>0</v>
      </c>
      <c r="DR152" s="1008"/>
      <c r="DS152" s="1008">
        <f t="shared" ref="DS152:DT173" si="169">+AH152-CW152</f>
        <v>0</v>
      </c>
      <c r="DT152" s="1008">
        <f t="shared" si="169"/>
        <v>0</v>
      </c>
      <c r="DU152" s="1008"/>
      <c r="DV152" s="1008">
        <f t="shared" ref="DV152:DX173" si="170">AK152-CZ152</f>
        <v>0</v>
      </c>
      <c r="DW152" s="1008">
        <f t="shared" si="170"/>
        <v>0</v>
      </c>
      <c r="DX152" s="1008">
        <f t="shared" si="170"/>
        <v>0</v>
      </c>
      <c r="DY152" s="1008">
        <f t="shared" ref="DY152:EC173" si="171">+AN152-DC152</f>
        <v>0</v>
      </c>
      <c r="DZ152" s="1008">
        <f t="shared" si="171"/>
        <v>0</v>
      </c>
      <c r="EA152" s="1008">
        <f t="shared" si="171"/>
        <v>0</v>
      </c>
      <c r="EB152" s="1008">
        <f t="shared" si="171"/>
        <v>0</v>
      </c>
      <c r="EC152" s="1008"/>
      <c r="ED152" s="1008">
        <f t="shared" ref="ED152:ED173" si="172">+AS152-DH152</f>
        <v>0</v>
      </c>
    </row>
    <row r="153" spans="1:134" ht="48" customHeight="1" x14ac:dyDescent="0.25">
      <c r="A153" s="1560"/>
      <c r="B153" s="989"/>
      <c r="C153" s="852" t="s">
        <v>4514</v>
      </c>
      <c r="D153" s="1019" t="s">
        <v>4550</v>
      </c>
      <c r="E153" s="995">
        <v>211</v>
      </c>
      <c r="F153" s="1097" t="s">
        <v>4482</v>
      </c>
      <c r="G153" s="1400"/>
      <c r="H153" s="1061">
        <f t="shared" si="143"/>
        <v>48956036</v>
      </c>
      <c r="I153" s="1061">
        <f t="shared" si="144"/>
        <v>60887622</v>
      </c>
      <c r="J153" s="1400"/>
      <c r="K153" s="1573"/>
      <c r="L153" s="1573"/>
      <c r="M153" s="1093">
        <v>2</v>
      </c>
      <c r="N153" s="1093">
        <v>0</v>
      </c>
      <c r="O153" s="1093">
        <v>0</v>
      </c>
      <c r="P153" s="1093">
        <v>45</v>
      </c>
      <c r="Q153" s="1093">
        <v>35</v>
      </c>
      <c r="R153" s="1093">
        <v>16</v>
      </c>
      <c r="S153" s="1097"/>
      <c r="T153" s="1097"/>
      <c r="U153" s="1097"/>
      <c r="V153" s="1097"/>
      <c r="W153" s="1097"/>
      <c r="X153" s="1097"/>
      <c r="Y153" s="1008">
        <f t="shared" si="145"/>
        <v>109843658</v>
      </c>
      <c r="Z153" s="1008"/>
      <c r="AA153" s="1008"/>
      <c r="AB153" s="1008"/>
      <c r="AC153" s="1008">
        <f>498457340+300000000-790156342</f>
        <v>8300998</v>
      </c>
      <c r="AD153" s="1008"/>
      <c r="AE153" s="1008"/>
      <c r="AF153" s="1008"/>
      <c r="AG153" s="1008"/>
      <c r="AH153" s="1008"/>
      <c r="AI153" s="1008"/>
      <c r="AJ153" s="1008"/>
      <c r="AK153" s="1008">
        <v>101542660</v>
      </c>
      <c r="AL153" s="1008"/>
      <c r="AM153" s="1008"/>
      <c r="AN153" s="1008"/>
      <c r="AO153" s="1008"/>
      <c r="AP153" s="1008"/>
      <c r="AQ153" s="1008"/>
      <c r="AR153" s="1008"/>
      <c r="AS153" s="1008"/>
      <c r="AU153" s="1011">
        <f t="shared" si="103"/>
        <v>0.4456883254925833</v>
      </c>
      <c r="AV153" s="1008">
        <f t="shared" si="146"/>
        <v>48956036</v>
      </c>
      <c r="AW153" s="1008"/>
      <c r="AX153" s="1008"/>
      <c r="AY153" s="1008"/>
      <c r="AZ153" s="1008">
        <f>+'[14]JUNIO 2015'!$M$180</f>
        <v>8300998</v>
      </c>
      <c r="BA153" s="1008"/>
      <c r="BB153" s="1008"/>
      <c r="BC153" s="1008"/>
      <c r="BD153" s="1008"/>
      <c r="BE153" s="1008"/>
      <c r="BF153" s="1008"/>
      <c r="BG153" s="1008"/>
      <c r="BH153" s="1008">
        <f>+'[14]JUNIO 2015'!$U$180</f>
        <v>40655038</v>
      </c>
      <c r="BI153" s="1008"/>
      <c r="BJ153" s="1008"/>
      <c r="BK153" s="1008"/>
      <c r="BL153" s="1008"/>
      <c r="BM153" s="1008"/>
      <c r="BN153" s="1008"/>
      <c r="BO153" s="1008"/>
      <c r="BP153" s="1008"/>
      <c r="BQ153" s="1011">
        <f t="shared" si="105"/>
        <v>0.5543116745074167</v>
      </c>
      <c r="BR153" s="1008">
        <f t="shared" si="147"/>
        <v>60887622</v>
      </c>
      <c r="BS153" s="1008">
        <f t="shared" si="164"/>
        <v>0</v>
      </c>
      <c r="BT153" s="1008">
        <f t="shared" si="165"/>
        <v>0</v>
      </c>
      <c r="BU153" s="1008"/>
      <c r="BV153" s="1008">
        <f t="shared" si="162"/>
        <v>0</v>
      </c>
      <c r="BW153" s="1008">
        <f t="shared" si="162"/>
        <v>0</v>
      </c>
      <c r="BX153" s="1008">
        <f t="shared" si="166"/>
        <v>0</v>
      </c>
      <c r="BY153" s="1008">
        <f t="shared" si="166"/>
        <v>0</v>
      </c>
      <c r="BZ153" s="1008"/>
      <c r="CA153" s="1008">
        <f t="shared" si="167"/>
        <v>0</v>
      </c>
      <c r="CB153" s="1008">
        <f t="shared" si="167"/>
        <v>0</v>
      </c>
      <c r="CC153" s="1008">
        <f t="shared" si="167"/>
        <v>0</v>
      </c>
      <c r="CD153" s="1008">
        <f t="shared" si="167"/>
        <v>60887622</v>
      </c>
      <c r="CE153" s="1008">
        <f t="shared" si="167"/>
        <v>0</v>
      </c>
      <c r="CF153" s="1008">
        <f t="shared" si="167"/>
        <v>0</v>
      </c>
      <c r="CG153" s="1008">
        <f t="shared" si="167"/>
        <v>0</v>
      </c>
      <c r="CH153" s="1008">
        <f t="shared" si="167"/>
        <v>0</v>
      </c>
      <c r="CI153" s="1008">
        <f t="shared" si="167"/>
        <v>0</v>
      </c>
      <c r="CJ153" s="1008"/>
      <c r="CK153" s="1008">
        <f t="shared" si="168"/>
        <v>0</v>
      </c>
      <c r="CL153" s="1008">
        <f t="shared" si="168"/>
        <v>0</v>
      </c>
      <c r="CM153" s="1011">
        <f t="shared" si="113"/>
        <v>0.4456883254925833</v>
      </c>
      <c r="CN153" s="1008">
        <f t="shared" si="154"/>
        <v>48956036</v>
      </c>
      <c r="CO153" s="1008"/>
      <c r="CP153" s="1008"/>
      <c r="CQ153" s="1008"/>
      <c r="CR153" s="1008">
        <f>+'[11]ABRIL 2015'!$H$166</f>
        <v>8300998</v>
      </c>
      <c r="CS153" s="1008"/>
      <c r="CT153" s="1008"/>
      <c r="CU153" s="1008"/>
      <c r="CV153" s="1008"/>
      <c r="CW153" s="1008"/>
      <c r="CX153" s="1008"/>
      <c r="CY153" s="1008"/>
      <c r="CZ153" s="1008">
        <f>8301038+32354000</f>
        <v>40655038</v>
      </c>
      <c r="DA153" s="1008"/>
      <c r="DB153" s="1008"/>
      <c r="DC153" s="1008"/>
      <c r="DD153" s="1008"/>
      <c r="DE153" s="1008"/>
      <c r="DF153" s="1008"/>
      <c r="DG153" s="1008"/>
      <c r="DH153" s="1008"/>
      <c r="DI153" s="1011">
        <f t="shared" si="115"/>
        <v>0.5543116745074167</v>
      </c>
      <c r="DJ153" s="1008">
        <f t="shared" si="155"/>
        <v>60887622</v>
      </c>
      <c r="DK153" s="1008"/>
      <c r="DL153" s="1008"/>
      <c r="DM153" s="1008"/>
      <c r="DN153" s="1008">
        <f t="shared" si="163"/>
        <v>0</v>
      </c>
      <c r="DO153" s="1008">
        <f t="shared" si="163"/>
        <v>0</v>
      </c>
      <c r="DP153" s="1008">
        <f t="shared" si="163"/>
        <v>0</v>
      </c>
      <c r="DQ153" s="1008">
        <f t="shared" si="163"/>
        <v>0</v>
      </c>
      <c r="DR153" s="1008"/>
      <c r="DS153" s="1008">
        <f t="shared" si="169"/>
        <v>0</v>
      </c>
      <c r="DT153" s="1008">
        <f t="shared" si="169"/>
        <v>0</v>
      </c>
      <c r="DU153" s="1008"/>
      <c r="DV153" s="1008">
        <f t="shared" si="170"/>
        <v>60887622</v>
      </c>
      <c r="DW153" s="1008">
        <f t="shared" si="170"/>
        <v>0</v>
      </c>
      <c r="DX153" s="1008">
        <f t="shared" si="170"/>
        <v>0</v>
      </c>
      <c r="DY153" s="1008">
        <f t="shared" si="171"/>
        <v>0</v>
      </c>
      <c r="DZ153" s="1008">
        <f t="shared" si="171"/>
        <v>0</v>
      </c>
      <c r="EA153" s="1008">
        <f t="shared" si="171"/>
        <v>0</v>
      </c>
      <c r="EB153" s="1008">
        <f t="shared" si="171"/>
        <v>0</v>
      </c>
      <c r="EC153" s="1008"/>
      <c r="ED153" s="1008">
        <f t="shared" si="172"/>
        <v>0</v>
      </c>
    </row>
    <row r="154" spans="1:134" s="203" customFormat="1" ht="36" customHeight="1" x14ac:dyDescent="0.25">
      <c r="A154" s="1560"/>
      <c r="B154" s="989"/>
      <c r="C154" s="1081" t="s">
        <v>4515</v>
      </c>
      <c r="D154" s="1019" t="s">
        <v>4551</v>
      </c>
      <c r="E154" s="997">
        <v>211</v>
      </c>
      <c r="F154" s="1097" t="s">
        <v>4482</v>
      </c>
      <c r="G154" s="1400"/>
      <c r="H154" s="1061">
        <f t="shared" si="143"/>
        <v>0</v>
      </c>
      <c r="I154" s="1061">
        <f t="shared" si="144"/>
        <v>0</v>
      </c>
      <c r="J154" s="1401"/>
      <c r="K154" s="1284"/>
      <c r="L154" s="1284"/>
      <c r="M154" s="1075">
        <v>0</v>
      </c>
      <c r="N154" s="1075">
        <v>0</v>
      </c>
      <c r="O154" s="1075">
        <v>0</v>
      </c>
      <c r="P154" s="1075"/>
      <c r="Q154" s="1075"/>
      <c r="R154" s="1075"/>
      <c r="S154" s="1097"/>
      <c r="T154" s="1097"/>
      <c r="U154" s="1097"/>
      <c r="V154" s="1097"/>
      <c r="W154" s="1097"/>
      <c r="X154" s="1097"/>
      <c r="Y154" s="1067">
        <f t="shared" si="145"/>
        <v>0</v>
      </c>
      <c r="Z154" s="149"/>
      <c r="AA154" s="149"/>
      <c r="AB154" s="149"/>
      <c r="AC154" s="1067">
        <f>600000000-600000000</f>
        <v>0</v>
      </c>
      <c r="AD154" s="149"/>
      <c r="AE154" s="149"/>
      <c r="AF154" s="1067"/>
      <c r="AG154" s="1067"/>
      <c r="AH154" s="1067"/>
      <c r="AI154" s="1067"/>
      <c r="AJ154" s="1067"/>
      <c r="AK154" s="1067"/>
      <c r="AL154" s="1067"/>
      <c r="AM154" s="149"/>
      <c r="AN154" s="149"/>
      <c r="AO154" s="149"/>
      <c r="AP154" s="149"/>
      <c r="AQ154" s="149"/>
      <c r="AR154" s="149"/>
      <c r="AS154" s="1067"/>
      <c r="AU154" s="1082" t="e">
        <f t="shared" si="103"/>
        <v>#DIV/0!</v>
      </c>
      <c r="AV154" s="1067">
        <f t="shared" si="146"/>
        <v>0</v>
      </c>
      <c r="AW154" s="1067"/>
      <c r="AX154" s="1067"/>
      <c r="AY154" s="1067"/>
      <c r="AZ154" s="1067"/>
      <c r="BA154" s="1067"/>
      <c r="BB154" s="1067"/>
      <c r="BC154" s="1067"/>
      <c r="BD154" s="1067"/>
      <c r="BE154" s="1067"/>
      <c r="BF154" s="1067"/>
      <c r="BG154" s="1067"/>
      <c r="BH154" s="1067"/>
      <c r="BI154" s="1067"/>
      <c r="BJ154" s="1067"/>
      <c r="BK154" s="1067"/>
      <c r="BL154" s="1067"/>
      <c r="BM154" s="1067"/>
      <c r="BN154" s="1067"/>
      <c r="BO154" s="1067"/>
      <c r="BP154" s="1067"/>
      <c r="BQ154" s="1082" t="e">
        <f t="shared" si="105"/>
        <v>#DIV/0!</v>
      </c>
      <c r="BR154" s="1067">
        <f t="shared" si="147"/>
        <v>0</v>
      </c>
      <c r="BS154" s="1067">
        <f t="shared" si="164"/>
        <v>0</v>
      </c>
      <c r="BT154" s="1067">
        <f t="shared" si="165"/>
        <v>0</v>
      </c>
      <c r="BU154" s="1067"/>
      <c r="BV154" s="1067">
        <f t="shared" si="162"/>
        <v>0</v>
      </c>
      <c r="BW154" s="1067">
        <f t="shared" si="162"/>
        <v>0</v>
      </c>
      <c r="BX154" s="1067">
        <f t="shared" si="166"/>
        <v>0</v>
      </c>
      <c r="BY154" s="1067">
        <f t="shared" si="166"/>
        <v>0</v>
      </c>
      <c r="BZ154" s="1067"/>
      <c r="CA154" s="1067">
        <f t="shared" si="167"/>
        <v>0</v>
      </c>
      <c r="CB154" s="1067">
        <f t="shared" si="167"/>
        <v>0</v>
      </c>
      <c r="CC154" s="1067">
        <f t="shared" si="167"/>
        <v>0</v>
      </c>
      <c r="CD154" s="1067">
        <f t="shared" si="167"/>
        <v>0</v>
      </c>
      <c r="CE154" s="1067">
        <f t="shared" si="167"/>
        <v>0</v>
      </c>
      <c r="CF154" s="1067">
        <f t="shared" si="167"/>
        <v>0</v>
      </c>
      <c r="CG154" s="1067">
        <f t="shared" si="167"/>
        <v>0</v>
      </c>
      <c r="CH154" s="1067">
        <f t="shared" si="167"/>
        <v>0</v>
      </c>
      <c r="CI154" s="1067">
        <f t="shared" si="167"/>
        <v>0</v>
      </c>
      <c r="CJ154" s="1067"/>
      <c r="CK154" s="1067">
        <f t="shared" si="168"/>
        <v>0</v>
      </c>
      <c r="CL154" s="1067">
        <f t="shared" si="168"/>
        <v>0</v>
      </c>
      <c r="CM154" s="1082" t="e">
        <f t="shared" si="113"/>
        <v>#DIV/0!</v>
      </c>
      <c r="CN154" s="1067">
        <f t="shared" si="154"/>
        <v>0</v>
      </c>
      <c r="CO154" s="1067"/>
      <c r="CP154" s="1067"/>
      <c r="CQ154" s="1067"/>
      <c r="CR154" s="1067"/>
      <c r="CS154" s="1067"/>
      <c r="CT154" s="1067"/>
      <c r="CU154" s="1067"/>
      <c r="CV154" s="1067"/>
      <c r="CW154" s="1067"/>
      <c r="CX154" s="1067"/>
      <c r="CY154" s="1067"/>
      <c r="CZ154" s="1067"/>
      <c r="DA154" s="1067"/>
      <c r="DB154" s="1067"/>
      <c r="DC154" s="1067"/>
      <c r="DD154" s="1067"/>
      <c r="DE154" s="1067"/>
      <c r="DF154" s="1067"/>
      <c r="DG154" s="1067"/>
      <c r="DH154" s="1067"/>
      <c r="DI154" s="1082" t="e">
        <f t="shared" si="115"/>
        <v>#DIV/0!</v>
      </c>
      <c r="DJ154" s="1067">
        <f t="shared" si="155"/>
        <v>0</v>
      </c>
      <c r="DK154" s="1067"/>
      <c r="DL154" s="1067"/>
      <c r="DM154" s="1067"/>
      <c r="DN154" s="1067">
        <f t="shared" si="163"/>
        <v>0</v>
      </c>
      <c r="DO154" s="1067">
        <f t="shared" si="163"/>
        <v>0</v>
      </c>
      <c r="DP154" s="1067">
        <f t="shared" si="163"/>
        <v>0</v>
      </c>
      <c r="DQ154" s="1067">
        <f t="shared" si="163"/>
        <v>0</v>
      </c>
      <c r="DR154" s="1067"/>
      <c r="DS154" s="1067">
        <f t="shared" si="169"/>
        <v>0</v>
      </c>
      <c r="DT154" s="1067">
        <f t="shared" si="169"/>
        <v>0</v>
      </c>
      <c r="DU154" s="1067"/>
      <c r="DV154" s="1067">
        <f t="shared" si="170"/>
        <v>0</v>
      </c>
      <c r="DW154" s="1067">
        <f t="shared" si="170"/>
        <v>0</v>
      </c>
      <c r="DX154" s="1067">
        <f t="shared" si="170"/>
        <v>0</v>
      </c>
      <c r="DY154" s="1067">
        <f t="shared" si="171"/>
        <v>0</v>
      </c>
      <c r="DZ154" s="1067">
        <f t="shared" si="171"/>
        <v>0</v>
      </c>
      <c r="EA154" s="1067">
        <f t="shared" si="171"/>
        <v>0</v>
      </c>
      <c r="EB154" s="1067">
        <f t="shared" si="171"/>
        <v>0</v>
      </c>
      <c r="EC154" s="1067">
        <f t="shared" si="171"/>
        <v>0</v>
      </c>
      <c r="ED154" s="1067">
        <f t="shared" si="172"/>
        <v>0</v>
      </c>
    </row>
    <row r="155" spans="1:134" ht="48.75" customHeight="1" x14ac:dyDescent="0.25">
      <c r="A155" s="1560"/>
      <c r="B155" s="989"/>
      <c r="C155" s="852" t="s">
        <v>4516</v>
      </c>
      <c r="D155" s="1019" t="s">
        <v>4726</v>
      </c>
      <c r="E155" s="995">
        <v>211</v>
      </c>
      <c r="F155" s="1097" t="s">
        <v>4482</v>
      </c>
      <c r="G155" s="1400"/>
      <c r="H155" s="1061">
        <f t="shared" si="143"/>
        <v>372698968</v>
      </c>
      <c r="I155" s="1061">
        <f t="shared" si="144"/>
        <v>2518133</v>
      </c>
      <c r="J155" s="1581">
        <v>60</v>
      </c>
      <c r="K155" s="1582">
        <v>78</v>
      </c>
      <c r="L155" s="1305">
        <v>62</v>
      </c>
      <c r="M155" s="1096">
        <v>0</v>
      </c>
      <c r="N155" s="1096">
        <v>0</v>
      </c>
      <c r="O155" s="1096">
        <v>0</v>
      </c>
      <c r="P155" s="1093">
        <v>0</v>
      </c>
      <c r="Q155" s="1093">
        <v>0</v>
      </c>
      <c r="R155" s="1093">
        <v>0</v>
      </c>
      <c r="S155" s="1097"/>
      <c r="T155" s="1097"/>
      <c r="U155" s="1097"/>
      <c r="V155" s="1097"/>
      <c r="W155" s="1097"/>
      <c r="X155" s="1097"/>
      <c r="Y155" s="1008">
        <f t="shared" si="145"/>
        <v>375217101</v>
      </c>
      <c r="Z155" s="944"/>
      <c r="AA155" s="944"/>
      <c r="AB155" s="944"/>
      <c r="AC155" s="1008">
        <f>1007000000-631782899</f>
        <v>375217101</v>
      </c>
      <c r="AD155" s="944"/>
      <c r="AE155" s="944"/>
      <c r="AF155" s="1008"/>
      <c r="AG155" s="1008"/>
      <c r="AH155" s="1008"/>
      <c r="AI155" s="1008"/>
      <c r="AJ155" s="1008"/>
      <c r="AK155" s="1008"/>
      <c r="AL155" s="1008"/>
      <c r="AM155" s="149"/>
      <c r="AN155" s="149"/>
      <c r="AO155" s="149"/>
      <c r="AP155" s="149"/>
      <c r="AQ155" s="149"/>
      <c r="AR155" s="149"/>
      <c r="AS155" s="1008"/>
      <c r="AU155" s="1011">
        <f t="shared" si="103"/>
        <v>0.99328886398490668</v>
      </c>
      <c r="AV155" s="1008">
        <f t="shared" si="146"/>
        <v>372698968</v>
      </c>
      <c r="AW155" s="1008"/>
      <c r="AX155" s="1008"/>
      <c r="AY155" s="1008"/>
      <c r="AZ155" s="1008">
        <f>+'[15]JULIO 2015'!$M$208</f>
        <v>372698968</v>
      </c>
      <c r="BA155" s="1008"/>
      <c r="BB155" s="1008"/>
      <c r="BC155" s="1008"/>
      <c r="BD155" s="1008"/>
      <c r="BE155" s="1008"/>
      <c r="BF155" s="1008"/>
      <c r="BG155" s="1008"/>
      <c r="BH155" s="1008"/>
      <c r="BI155" s="1008"/>
      <c r="BJ155" s="1008"/>
      <c r="BK155" s="1008"/>
      <c r="BL155" s="1008"/>
      <c r="BM155" s="1008"/>
      <c r="BN155" s="1008"/>
      <c r="BO155" s="1008"/>
      <c r="BP155" s="1008"/>
      <c r="BQ155" s="1011">
        <f t="shared" si="105"/>
        <v>6.7111360150933219E-3</v>
      </c>
      <c r="BR155" s="1008">
        <f t="shared" si="147"/>
        <v>2518133</v>
      </c>
      <c r="BS155" s="1008">
        <f t="shared" si="164"/>
        <v>0</v>
      </c>
      <c r="BT155" s="1008">
        <f t="shared" si="165"/>
        <v>0</v>
      </c>
      <c r="BU155" s="1008"/>
      <c r="BV155" s="1008">
        <f t="shared" si="162"/>
        <v>2518133</v>
      </c>
      <c r="BW155" s="1008">
        <f t="shared" si="162"/>
        <v>0</v>
      </c>
      <c r="BX155" s="1008">
        <f t="shared" si="166"/>
        <v>0</v>
      </c>
      <c r="BY155" s="1008">
        <f t="shared" si="166"/>
        <v>0</v>
      </c>
      <c r="BZ155" s="1008"/>
      <c r="CA155" s="1008">
        <f t="shared" si="167"/>
        <v>0</v>
      </c>
      <c r="CB155" s="1008">
        <f t="shared" si="167"/>
        <v>0</v>
      </c>
      <c r="CC155" s="1008">
        <f t="shared" si="167"/>
        <v>0</v>
      </c>
      <c r="CD155" s="1008">
        <f t="shared" si="167"/>
        <v>0</v>
      </c>
      <c r="CE155" s="1008">
        <f t="shared" si="167"/>
        <v>0</v>
      </c>
      <c r="CF155" s="1008">
        <f t="shared" si="167"/>
        <v>0</v>
      </c>
      <c r="CG155" s="1008">
        <f t="shared" si="167"/>
        <v>0</v>
      </c>
      <c r="CH155" s="1008">
        <f t="shared" si="167"/>
        <v>0</v>
      </c>
      <c r="CI155" s="1008">
        <f t="shared" si="167"/>
        <v>0</v>
      </c>
      <c r="CJ155" s="1008"/>
      <c r="CK155" s="1008">
        <f t="shared" si="168"/>
        <v>0</v>
      </c>
      <c r="CL155" s="1008">
        <f t="shared" si="168"/>
        <v>0</v>
      </c>
      <c r="CM155" s="1011">
        <f t="shared" si="113"/>
        <v>0.99328886398490668</v>
      </c>
      <c r="CN155" s="1008">
        <f t="shared" si="154"/>
        <v>372698968</v>
      </c>
      <c r="CO155" s="1008"/>
      <c r="CP155" s="1008"/>
      <c r="CQ155" s="1008"/>
      <c r="CR155" s="1008">
        <f>+'[16]AGOSTO 2015'!$H$214</f>
        <v>372698968</v>
      </c>
      <c r="CS155" s="1008"/>
      <c r="CT155" s="1008"/>
      <c r="CU155" s="1008"/>
      <c r="CV155" s="1008"/>
      <c r="CW155" s="1008"/>
      <c r="CX155" s="1008"/>
      <c r="CY155" s="1008"/>
      <c r="CZ155" s="1008"/>
      <c r="DA155" s="1008"/>
      <c r="DB155" s="1008"/>
      <c r="DC155" s="1008"/>
      <c r="DD155" s="1008"/>
      <c r="DE155" s="1008"/>
      <c r="DF155" s="1008"/>
      <c r="DG155" s="1008"/>
      <c r="DH155" s="1008"/>
      <c r="DI155" s="1011">
        <f t="shared" si="115"/>
        <v>6.7111360150933219E-3</v>
      </c>
      <c r="DJ155" s="1008">
        <f t="shared" si="155"/>
        <v>2518133</v>
      </c>
      <c r="DK155" s="1008"/>
      <c r="DL155" s="1008"/>
      <c r="DM155" s="1008"/>
      <c r="DN155" s="1008">
        <f t="shared" si="163"/>
        <v>2518133</v>
      </c>
      <c r="DO155" s="1008">
        <f t="shared" si="163"/>
        <v>0</v>
      </c>
      <c r="DP155" s="1008">
        <f t="shared" si="163"/>
        <v>0</v>
      </c>
      <c r="DQ155" s="1008">
        <f t="shared" si="163"/>
        <v>0</v>
      </c>
      <c r="DR155" s="1008"/>
      <c r="DS155" s="1008">
        <f t="shared" si="169"/>
        <v>0</v>
      </c>
      <c r="DT155" s="1008">
        <f t="shared" si="169"/>
        <v>0</v>
      </c>
      <c r="DU155" s="1008"/>
      <c r="DV155" s="1008">
        <f t="shared" si="170"/>
        <v>0</v>
      </c>
      <c r="DW155" s="1008">
        <f t="shared" si="170"/>
        <v>0</v>
      </c>
      <c r="DX155" s="1008">
        <f t="shared" si="170"/>
        <v>0</v>
      </c>
      <c r="DY155" s="1008">
        <f t="shared" si="171"/>
        <v>0</v>
      </c>
      <c r="DZ155" s="1008">
        <f t="shared" si="171"/>
        <v>0</v>
      </c>
      <c r="EA155" s="1008">
        <f t="shared" si="171"/>
        <v>0</v>
      </c>
      <c r="EB155" s="1008">
        <f t="shared" si="171"/>
        <v>0</v>
      </c>
      <c r="EC155" s="1008">
        <f t="shared" si="171"/>
        <v>0</v>
      </c>
      <c r="ED155" s="1008">
        <f t="shared" si="172"/>
        <v>0</v>
      </c>
    </row>
    <row r="156" spans="1:134" ht="49.5" customHeight="1" x14ac:dyDescent="0.25">
      <c r="A156" s="1560"/>
      <c r="B156" s="989"/>
      <c r="C156" s="852" t="s">
        <v>4517</v>
      </c>
      <c r="D156" s="1019" t="s">
        <v>4552</v>
      </c>
      <c r="E156" s="995">
        <v>211</v>
      </c>
      <c r="F156" s="1097" t="s">
        <v>4482</v>
      </c>
      <c r="G156" s="1400"/>
      <c r="H156" s="1061">
        <f t="shared" si="143"/>
        <v>244800000</v>
      </c>
      <c r="I156" s="1061">
        <f t="shared" si="144"/>
        <v>0</v>
      </c>
      <c r="J156" s="1581"/>
      <c r="K156" s="1582"/>
      <c r="L156" s="1305"/>
      <c r="M156" s="1096">
        <v>0</v>
      </c>
      <c r="N156" s="1096">
        <v>0</v>
      </c>
      <c r="O156" s="1096">
        <v>0</v>
      </c>
      <c r="P156" s="1093">
        <v>100</v>
      </c>
      <c r="Q156" s="1093">
        <v>40</v>
      </c>
      <c r="R156" s="1093">
        <v>40</v>
      </c>
      <c r="S156" s="1097"/>
      <c r="T156" s="1097"/>
      <c r="U156" s="1097"/>
      <c r="V156" s="1097"/>
      <c r="W156" s="1097"/>
      <c r="X156" s="1097"/>
      <c r="Y156" s="1008">
        <f t="shared" si="145"/>
        <v>244800000</v>
      </c>
      <c r="Z156" s="944"/>
      <c r="AA156" s="944"/>
      <c r="AB156" s="944"/>
      <c r="AC156" s="1008">
        <f>2000000000-1755200000</f>
        <v>244800000</v>
      </c>
      <c r="AD156" s="944"/>
      <c r="AE156" s="944"/>
      <c r="AF156" s="1008"/>
      <c r="AG156" s="1008"/>
      <c r="AH156" s="1008"/>
      <c r="AI156" s="1008"/>
      <c r="AJ156" s="1008"/>
      <c r="AK156" s="1008"/>
      <c r="AL156" s="1008"/>
      <c r="AM156" s="149"/>
      <c r="AN156" s="149"/>
      <c r="AO156" s="149"/>
      <c r="AP156" s="149"/>
      <c r="AQ156" s="149"/>
      <c r="AR156" s="149"/>
      <c r="AS156" s="1008"/>
      <c r="AU156" s="1011">
        <f t="shared" si="103"/>
        <v>1</v>
      </c>
      <c r="AV156" s="1008">
        <f t="shared" si="146"/>
        <v>244800000</v>
      </c>
      <c r="AW156" s="1008"/>
      <c r="AX156" s="1008"/>
      <c r="AY156" s="1008"/>
      <c r="AZ156" s="1008">
        <f>+'[11]ABRIL 2015'!$G$182</f>
        <v>244800000</v>
      </c>
      <c r="BA156" s="1008"/>
      <c r="BB156" s="1008"/>
      <c r="BC156" s="1008"/>
      <c r="BD156" s="1008"/>
      <c r="BE156" s="1008"/>
      <c r="BF156" s="1008"/>
      <c r="BG156" s="1008"/>
      <c r="BH156" s="1008"/>
      <c r="BI156" s="1008"/>
      <c r="BJ156" s="1008"/>
      <c r="BK156" s="1008"/>
      <c r="BL156" s="1008"/>
      <c r="BM156" s="1008"/>
      <c r="BN156" s="1008"/>
      <c r="BO156" s="1008"/>
      <c r="BP156" s="1008"/>
      <c r="BQ156" s="1011">
        <f t="shared" si="105"/>
        <v>0</v>
      </c>
      <c r="BR156" s="1008">
        <f t="shared" si="147"/>
        <v>0</v>
      </c>
      <c r="BS156" s="1008">
        <f t="shared" si="164"/>
        <v>0</v>
      </c>
      <c r="BT156" s="1008">
        <f t="shared" si="165"/>
        <v>0</v>
      </c>
      <c r="BU156" s="1008"/>
      <c r="BV156" s="1008">
        <f t="shared" si="162"/>
        <v>0</v>
      </c>
      <c r="BW156" s="1008">
        <f t="shared" si="162"/>
        <v>0</v>
      </c>
      <c r="BX156" s="1008">
        <f t="shared" si="166"/>
        <v>0</v>
      </c>
      <c r="BY156" s="1008">
        <f t="shared" si="166"/>
        <v>0</v>
      </c>
      <c r="BZ156" s="1008"/>
      <c r="CA156" s="1008">
        <f t="shared" si="167"/>
        <v>0</v>
      </c>
      <c r="CB156" s="1008">
        <f t="shared" si="167"/>
        <v>0</v>
      </c>
      <c r="CC156" s="1008">
        <f t="shared" si="167"/>
        <v>0</v>
      </c>
      <c r="CD156" s="1008">
        <f t="shared" si="167"/>
        <v>0</v>
      </c>
      <c r="CE156" s="1008">
        <f t="shared" si="167"/>
        <v>0</v>
      </c>
      <c r="CF156" s="1008">
        <f t="shared" si="167"/>
        <v>0</v>
      </c>
      <c r="CG156" s="1008">
        <f t="shared" si="167"/>
        <v>0</v>
      </c>
      <c r="CH156" s="1008">
        <f t="shared" si="167"/>
        <v>0</v>
      </c>
      <c r="CI156" s="1008">
        <f t="shared" si="167"/>
        <v>0</v>
      </c>
      <c r="CJ156" s="1008"/>
      <c r="CK156" s="1008">
        <f t="shared" si="168"/>
        <v>0</v>
      </c>
      <c r="CL156" s="1008">
        <f t="shared" si="168"/>
        <v>0</v>
      </c>
      <c r="CM156" s="1011">
        <f t="shared" si="113"/>
        <v>1</v>
      </c>
      <c r="CN156" s="1008">
        <f t="shared" si="154"/>
        <v>244800000</v>
      </c>
      <c r="CO156" s="1008"/>
      <c r="CP156" s="1008"/>
      <c r="CQ156" s="1008"/>
      <c r="CR156" s="1008">
        <v>244800000</v>
      </c>
      <c r="CS156" s="1008"/>
      <c r="CT156" s="1008"/>
      <c r="CU156" s="1008"/>
      <c r="CV156" s="1008"/>
      <c r="CW156" s="1008"/>
      <c r="CX156" s="1008"/>
      <c r="CY156" s="1008"/>
      <c r="CZ156" s="1008"/>
      <c r="DA156" s="1008"/>
      <c r="DB156" s="1008"/>
      <c r="DC156" s="1008"/>
      <c r="DD156" s="1008"/>
      <c r="DE156" s="1008"/>
      <c r="DF156" s="1008"/>
      <c r="DG156" s="1008"/>
      <c r="DH156" s="1008"/>
      <c r="DI156" s="1011">
        <f t="shared" si="115"/>
        <v>0</v>
      </c>
      <c r="DJ156" s="1008">
        <f t="shared" si="155"/>
        <v>0</v>
      </c>
      <c r="DK156" s="1008"/>
      <c r="DL156" s="1008"/>
      <c r="DM156" s="1008"/>
      <c r="DN156" s="1008">
        <f t="shared" si="163"/>
        <v>0</v>
      </c>
      <c r="DO156" s="1008">
        <f t="shared" si="163"/>
        <v>0</v>
      </c>
      <c r="DP156" s="1008">
        <f t="shared" si="163"/>
        <v>0</v>
      </c>
      <c r="DQ156" s="1008">
        <f t="shared" si="163"/>
        <v>0</v>
      </c>
      <c r="DR156" s="1008"/>
      <c r="DS156" s="1008">
        <f t="shared" si="169"/>
        <v>0</v>
      </c>
      <c r="DT156" s="1008">
        <f t="shared" si="169"/>
        <v>0</v>
      </c>
      <c r="DU156" s="1008"/>
      <c r="DV156" s="1008">
        <f t="shared" si="170"/>
        <v>0</v>
      </c>
      <c r="DW156" s="1008">
        <f t="shared" si="170"/>
        <v>0</v>
      </c>
      <c r="DX156" s="1008">
        <f t="shared" si="170"/>
        <v>0</v>
      </c>
      <c r="DY156" s="1008">
        <f t="shared" si="171"/>
        <v>0</v>
      </c>
      <c r="DZ156" s="1008">
        <f t="shared" si="171"/>
        <v>0</v>
      </c>
      <c r="EA156" s="1008">
        <f t="shared" si="171"/>
        <v>0</v>
      </c>
      <c r="EB156" s="1008">
        <f t="shared" si="171"/>
        <v>0</v>
      </c>
      <c r="EC156" s="1008">
        <f t="shared" si="171"/>
        <v>0</v>
      </c>
      <c r="ED156" s="1008">
        <f t="shared" si="172"/>
        <v>0</v>
      </c>
    </row>
    <row r="157" spans="1:134" ht="22.5" customHeight="1" x14ac:dyDescent="0.25">
      <c r="A157" s="1560"/>
      <c r="B157" s="989"/>
      <c r="C157" s="852" t="s">
        <v>4518</v>
      </c>
      <c r="D157" s="1019" t="s">
        <v>4553</v>
      </c>
      <c r="E157" s="995">
        <v>211</v>
      </c>
      <c r="F157" s="1097" t="s">
        <v>4482</v>
      </c>
      <c r="G157" s="1400"/>
      <c r="H157" s="1061">
        <f t="shared" si="143"/>
        <v>96000000</v>
      </c>
      <c r="I157" s="1061">
        <f t="shared" si="144"/>
        <v>250985280</v>
      </c>
      <c r="J157" s="1581"/>
      <c r="K157" s="1582"/>
      <c r="L157" s="1305"/>
      <c r="M157" s="1096">
        <v>0</v>
      </c>
      <c r="N157" s="1096">
        <v>0</v>
      </c>
      <c r="O157" s="1096">
        <v>0</v>
      </c>
      <c r="P157" s="1093">
        <v>13</v>
      </c>
      <c r="Q157" s="1093">
        <v>5</v>
      </c>
      <c r="R157" s="1093">
        <v>1</v>
      </c>
      <c r="S157" s="1097"/>
      <c r="T157" s="1097"/>
      <c r="U157" s="1097"/>
      <c r="V157" s="1097"/>
      <c r="W157" s="1097"/>
      <c r="X157" s="1097"/>
      <c r="Y157" s="1008">
        <f t="shared" si="145"/>
        <v>346985280</v>
      </c>
      <c r="Z157" s="944"/>
      <c r="AA157" s="944"/>
      <c r="AB157" s="944"/>
      <c r="AC157" s="1008">
        <f>178840000+200000000-72884540+72884540-31854720</f>
        <v>346985280</v>
      </c>
      <c r="AD157" s="1008">
        <f>72884540-72884540</f>
        <v>0</v>
      </c>
      <c r="AE157" s="944"/>
      <c r="AF157" s="1008"/>
      <c r="AG157" s="1008"/>
      <c r="AH157" s="1008"/>
      <c r="AI157" s="1008"/>
      <c r="AJ157" s="1008"/>
      <c r="AK157" s="1008"/>
      <c r="AL157" s="1008"/>
      <c r="AM157" s="149"/>
      <c r="AN157" s="149"/>
      <c r="AO157" s="149"/>
      <c r="AP157" s="149"/>
      <c r="AQ157" s="149"/>
      <c r="AR157" s="149"/>
      <c r="AS157" s="1008"/>
      <c r="AU157" s="1011">
        <f t="shared" si="103"/>
        <v>0.27666879701640368</v>
      </c>
      <c r="AV157" s="1008">
        <f t="shared" si="146"/>
        <v>96000000</v>
      </c>
      <c r="AW157" s="1008"/>
      <c r="AX157" s="1008"/>
      <c r="AY157" s="1008"/>
      <c r="AZ157" s="1008">
        <f>+'[16]AGOSTO 2015'!$M$233</f>
        <v>96000000</v>
      </c>
      <c r="BA157" s="1008"/>
      <c r="BB157" s="1008"/>
      <c r="BC157" s="1008"/>
      <c r="BD157" s="1008"/>
      <c r="BE157" s="1008"/>
      <c r="BF157" s="1008"/>
      <c r="BG157" s="1008"/>
      <c r="BH157" s="1008"/>
      <c r="BI157" s="1008"/>
      <c r="BJ157" s="1008"/>
      <c r="BK157" s="1008"/>
      <c r="BL157" s="1008"/>
      <c r="BM157" s="1008"/>
      <c r="BN157" s="1008"/>
      <c r="BO157" s="1008"/>
      <c r="BP157" s="1008"/>
      <c r="BQ157" s="1011">
        <f t="shared" si="105"/>
        <v>0.72333120298359632</v>
      </c>
      <c r="BR157" s="1008">
        <f t="shared" si="147"/>
        <v>250985280</v>
      </c>
      <c r="BS157" s="1008">
        <f t="shared" si="164"/>
        <v>0</v>
      </c>
      <c r="BT157" s="1008">
        <f t="shared" si="165"/>
        <v>0</v>
      </c>
      <c r="BU157" s="1008"/>
      <c r="BV157" s="1008">
        <f t="shared" si="162"/>
        <v>250985280</v>
      </c>
      <c r="BW157" s="1008">
        <f t="shared" si="162"/>
        <v>0</v>
      </c>
      <c r="BX157" s="1008">
        <f t="shared" si="166"/>
        <v>0</v>
      </c>
      <c r="BY157" s="1008">
        <f t="shared" si="166"/>
        <v>0</v>
      </c>
      <c r="BZ157" s="1008"/>
      <c r="CA157" s="1008">
        <f t="shared" si="167"/>
        <v>0</v>
      </c>
      <c r="CB157" s="1008">
        <f t="shared" si="167"/>
        <v>0</v>
      </c>
      <c r="CC157" s="1008">
        <f t="shared" si="167"/>
        <v>0</v>
      </c>
      <c r="CD157" s="1008">
        <f t="shared" si="167"/>
        <v>0</v>
      </c>
      <c r="CE157" s="1008">
        <f t="shared" si="167"/>
        <v>0</v>
      </c>
      <c r="CF157" s="1008">
        <f t="shared" si="167"/>
        <v>0</v>
      </c>
      <c r="CG157" s="1008">
        <f t="shared" si="167"/>
        <v>0</v>
      </c>
      <c r="CH157" s="1008">
        <f t="shared" si="167"/>
        <v>0</v>
      </c>
      <c r="CI157" s="1008">
        <f t="shared" si="167"/>
        <v>0</v>
      </c>
      <c r="CJ157" s="1008"/>
      <c r="CK157" s="1008">
        <f t="shared" si="168"/>
        <v>0</v>
      </c>
      <c r="CL157" s="1008">
        <f t="shared" si="168"/>
        <v>0</v>
      </c>
      <c r="CM157" s="1011">
        <f t="shared" si="113"/>
        <v>0.27666879701640368</v>
      </c>
      <c r="CN157" s="1008">
        <f t="shared" si="154"/>
        <v>96000000</v>
      </c>
      <c r="CO157" s="1008"/>
      <c r="CP157" s="1008"/>
      <c r="CQ157" s="1008"/>
      <c r="CR157" s="1008">
        <f>+'[16]AGOSTO 2015'!$H$231</f>
        <v>96000000</v>
      </c>
      <c r="CS157" s="1008"/>
      <c r="CT157" s="1008"/>
      <c r="CU157" s="1008"/>
      <c r="CV157" s="1008"/>
      <c r="CW157" s="1008"/>
      <c r="CX157" s="1008"/>
      <c r="CY157" s="1008"/>
      <c r="CZ157" s="1008"/>
      <c r="DA157" s="1008"/>
      <c r="DB157" s="1008"/>
      <c r="DC157" s="1008"/>
      <c r="DD157" s="1008"/>
      <c r="DE157" s="1008"/>
      <c r="DF157" s="1008"/>
      <c r="DG157" s="1008"/>
      <c r="DH157" s="1008"/>
      <c r="DI157" s="1011">
        <f t="shared" si="115"/>
        <v>0.72333120298359632</v>
      </c>
      <c r="DJ157" s="1008">
        <f t="shared" si="155"/>
        <v>250985280</v>
      </c>
      <c r="DK157" s="1008"/>
      <c r="DL157" s="1008"/>
      <c r="DM157" s="1008"/>
      <c r="DN157" s="1008">
        <f t="shared" si="163"/>
        <v>250985280</v>
      </c>
      <c r="DO157" s="1008">
        <f t="shared" si="163"/>
        <v>0</v>
      </c>
      <c r="DP157" s="1008">
        <f t="shared" si="163"/>
        <v>0</v>
      </c>
      <c r="DQ157" s="1008">
        <f t="shared" si="163"/>
        <v>0</v>
      </c>
      <c r="DR157" s="1008"/>
      <c r="DS157" s="1008">
        <f t="shared" si="169"/>
        <v>0</v>
      </c>
      <c r="DT157" s="1008">
        <f t="shared" si="169"/>
        <v>0</v>
      </c>
      <c r="DU157" s="1008"/>
      <c r="DV157" s="1008">
        <f t="shared" si="170"/>
        <v>0</v>
      </c>
      <c r="DW157" s="1008">
        <f t="shared" si="170"/>
        <v>0</v>
      </c>
      <c r="DX157" s="1008">
        <f t="shared" si="170"/>
        <v>0</v>
      </c>
      <c r="DY157" s="1008">
        <f t="shared" si="171"/>
        <v>0</v>
      </c>
      <c r="DZ157" s="1008">
        <f t="shared" si="171"/>
        <v>0</v>
      </c>
      <c r="EA157" s="1008">
        <f t="shared" si="171"/>
        <v>0</v>
      </c>
      <c r="EB157" s="1008">
        <f t="shared" si="171"/>
        <v>0</v>
      </c>
      <c r="EC157" s="1008">
        <f t="shared" si="171"/>
        <v>0</v>
      </c>
      <c r="ED157" s="1008">
        <f t="shared" si="172"/>
        <v>0</v>
      </c>
    </row>
    <row r="158" spans="1:134" ht="45.75" customHeight="1" x14ac:dyDescent="0.25">
      <c r="A158" s="1560"/>
      <c r="B158" s="989"/>
      <c r="C158" s="852" t="s">
        <v>4519</v>
      </c>
      <c r="D158" s="1053" t="s">
        <v>4554</v>
      </c>
      <c r="E158" s="995">
        <v>211</v>
      </c>
      <c r="F158" s="1054" t="s">
        <v>4482</v>
      </c>
      <c r="G158" s="1400"/>
      <c r="H158" s="1061">
        <f t="shared" si="143"/>
        <v>26866695</v>
      </c>
      <c r="I158" s="1061">
        <f t="shared" si="144"/>
        <v>13133305</v>
      </c>
      <c r="J158" s="1581">
        <v>54</v>
      </c>
      <c r="K158" s="1582">
        <v>71</v>
      </c>
      <c r="L158" s="1305">
        <v>56</v>
      </c>
      <c r="M158" s="1096">
        <v>0</v>
      </c>
      <c r="N158" s="1096">
        <v>0</v>
      </c>
      <c r="O158" s="1096">
        <v>0</v>
      </c>
      <c r="P158" s="1093">
        <v>0</v>
      </c>
      <c r="Q158" s="1093">
        <v>0</v>
      </c>
      <c r="R158" s="1093">
        <v>0</v>
      </c>
      <c r="S158" s="1054"/>
      <c r="T158" s="1054"/>
      <c r="U158" s="1054"/>
      <c r="V158" s="1054"/>
      <c r="W158" s="1054"/>
      <c r="X158" s="1054"/>
      <c r="Y158" s="1008">
        <f t="shared" si="145"/>
        <v>40000000</v>
      </c>
      <c r="Z158" s="944"/>
      <c r="AA158" s="944"/>
      <c r="AB158" s="944"/>
      <c r="AC158" s="1008">
        <f>90000000+500000000-250000000-300000000-39070000</f>
        <v>930000</v>
      </c>
      <c r="AD158" s="944"/>
      <c r="AE158" s="944"/>
      <c r="AF158" s="1008"/>
      <c r="AG158" s="1008"/>
      <c r="AH158" s="1008"/>
      <c r="AI158" s="1008"/>
      <c r="AJ158" s="1008"/>
      <c r="AK158" s="1008"/>
      <c r="AL158" s="1008"/>
      <c r="AM158" s="149"/>
      <c r="AN158" s="149">
        <f>39070000</f>
        <v>39070000</v>
      </c>
      <c r="AO158" s="149"/>
      <c r="AP158" s="149"/>
      <c r="AQ158" s="149"/>
      <c r="AR158" s="149"/>
      <c r="AS158" s="1008"/>
      <c r="AU158" s="1011">
        <f t="shared" si="103"/>
        <v>0.85004464999999996</v>
      </c>
      <c r="AV158" s="1008">
        <f t="shared" si="146"/>
        <v>34001786</v>
      </c>
      <c r="AW158" s="1008"/>
      <c r="AX158" s="1008"/>
      <c r="AY158" s="1008"/>
      <c r="AZ158" s="1008">
        <f>+'[14]JUNIO 2015'!$M$212</f>
        <v>930000</v>
      </c>
      <c r="BA158" s="1008"/>
      <c r="BB158" s="1008"/>
      <c r="BC158" s="1008"/>
      <c r="BD158" s="1008"/>
      <c r="BE158" s="1008"/>
      <c r="BF158" s="1008"/>
      <c r="BG158" s="1008"/>
      <c r="BH158" s="1008"/>
      <c r="BI158" s="1008"/>
      <c r="BJ158" s="1008"/>
      <c r="BK158" s="1008">
        <f>+'[18]OCTUBRE 2015'!$X$259</f>
        <v>33071786</v>
      </c>
      <c r="BL158" s="1008"/>
      <c r="BM158" s="1008"/>
      <c r="BN158" s="1008"/>
      <c r="BO158" s="1008"/>
      <c r="BP158" s="1008"/>
      <c r="BQ158" s="1011">
        <f t="shared" si="105"/>
        <v>0.14995535000000004</v>
      </c>
      <c r="BR158" s="1008">
        <f t="shared" si="147"/>
        <v>5998214</v>
      </c>
      <c r="BS158" s="1008">
        <f t="shared" si="164"/>
        <v>0</v>
      </c>
      <c r="BT158" s="1008">
        <f t="shared" si="165"/>
        <v>0</v>
      </c>
      <c r="BU158" s="1008"/>
      <c r="BV158" s="1008">
        <f t="shared" si="162"/>
        <v>0</v>
      </c>
      <c r="BW158" s="1008">
        <f t="shared" si="162"/>
        <v>0</v>
      </c>
      <c r="BX158" s="1008">
        <f t="shared" si="166"/>
        <v>0</v>
      </c>
      <c r="BY158" s="1008">
        <f t="shared" si="166"/>
        <v>0</v>
      </c>
      <c r="BZ158" s="1008"/>
      <c r="CA158" s="1008">
        <f t="shared" si="167"/>
        <v>0</v>
      </c>
      <c r="CB158" s="1008">
        <f t="shared" si="167"/>
        <v>0</v>
      </c>
      <c r="CC158" s="1008">
        <f t="shared" si="167"/>
        <v>0</v>
      </c>
      <c r="CD158" s="1008">
        <f t="shared" si="167"/>
        <v>0</v>
      </c>
      <c r="CE158" s="1008">
        <f t="shared" si="167"/>
        <v>0</v>
      </c>
      <c r="CF158" s="1008">
        <f t="shared" si="167"/>
        <v>0</v>
      </c>
      <c r="CG158" s="1008">
        <f t="shared" si="167"/>
        <v>5998214</v>
      </c>
      <c r="CH158" s="1008">
        <f t="shared" si="167"/>
        <v>0</v>
      </c>
      <c r="CI158" s="1008">
        <f t="shared" si="167"/>
        <v>0</v>
      </c>
      <c r="CJ158" s="1008"/>
      <c r="CK158" s="1008">
        <f t="shared" si="168"/>
        <v>0</v>
      </c>
      <c r="CL158" s="1008">
        <f t="shared" si="168"/>
        <v>0</v>
      </c>
      <c r="CM158" s="1011">
        <f t="shared" si="113"/>
        <v>0.67166737499999996</v>
      </c>
      <c r="CN158" s="1008">
        <f t="shared" si="154"/>
        <v>26866695</v>
      </c>
      <c r="CO158" s="1008"/>
      <c r="CP158" s="1008"/>
      <c r="CQ158" s="1008"/>
      <c r="CR158" s="1008">
        <f>+'[14]JUNIO 2015'!$H$210</f>
        <v>186695</v>
      </c>
      <c r="CS158" s="1008"/>
      <c r="CT158" s="1008"/>
      <c r="CU158" s="1008"/>
      <c r="CV158" s="1008"/>
      <c r="CW158" s="1008"/>
      <c r="CX158" s="1008"/>
      <c r="CY158" s="1008"/>
      <c r="CZ158" s="1008"/>
      <c r="DA158" s="1008"/>
      <c r="DB158" s="1008"/>
      <c r="DC158" s="1008">
        <f>+'[18]OCTUBRE 2015'!$H$264</f>
        <v>26680000</v>
      </c>
      <c r="DD158" s="1008"/>
      <c r="DE158" s="1008"/>
      <c r="DF158" s="1008"/>
      <c r="DG158" s="1008"/>
      <c r="DH158" s="1008"/>
      <c r="DI158" s="1011">
        <f t="shared" si="115"/>
        <v>0.32833262500000004</v>
      </c>
      <c r="DJ158" s="1008">
        <f t="shared" si="155"/>
        <v>13133305</v>
      </c>
      <c r="DK158" s="1008"/>
      <c r="DL158" s="1008"/>
      <c r="DM158" s="1008"/>
      <c r="DN158" s="1008">
        <f t="shared" si="163"/>
        <v>743305</v>
      </c>
      <c r="DO158" s="1008">
        <f t="shared" si="163"/>
        <v>0</v>
      </c>
      <c r="DP158" s="1008">
        <f t="shared" si="163"/>
        <v>0</v>
      </c>
      <c r="DQ158" s="1008">
        <f t="shared" si="163"/>
        <v>0</v>
      </c>
      <c r="DR158" s="1008"/>
      <c r="DS158" s="1008">
        <f t="shared" si="169"/>
        <v>0</v>
      </c>
      <c r="DT158" s="1008">
        <f t="shared" si="169"/>
        <v>0</v>
      </c>
      <c r="DU158" s="1008"/>
      <c r="DV158" s="1008">
        <f t="shared" si="170"/>
        <v>0</v>
      </c>
      <c r="DW158" s="1008">
        <f t="shared" si="170"/>
        <v>0</v>
      </c>
      <c r="DX158" s="1008">
        <f t="shared" si="170"/>
        <v>0</v>
      </c>
      <c r="DY158" s="1008">
        <f t="shared" si="171"/>
        <v>12390000</v>
      </c>
      <c r="DZ158" s="1008">
        <f t="shared" si="171"/>
        <v>0</v>
      </c>
      <c r="EA158" s="1008">
        <f t="shared" si="171"/>
        <v>0</v>
      </c>
      <c r="EB158" s="1008">
        <f t="shared" si="171"/>
        <v>0</v>
      </c>
      <c r="EC158" s="1008">
        <f t="shared" si="171"/>
        <v>0</v>
      </c>
      <c r="ED158" s="1008">
        <f t="shared" si="172"/>
        <v>0</v>
      </c>
    </row>
    <row r="159" spans="1:134" s="203" customFormat="1" ht="35.25" customHeight="1" x14ac:dyDescent="0.25">
      <c r="A159" s="1560"/>
      <c r="B159" s="989"/>
      <c r="C159" s="1081" t="s">
        <v>4520</v>
      </c>
      <c r="D159" s="1019" t="s">
        <v>4555</v>
      </c>
      <c r="E159" s="997">
        <v>211</v>
      </c>
      <c r="F159" s="1097" t="s">
        <v>4482</v>
      </c>
      <c r="G159" s="1400"/>
      <c r="H159" s="1061">
        <f t="shared" si="143"/>
        <v>299999200</v>
      </c>
      <c r="I159" s="1061">
        <f t="shared" si="144"/>
        <v>800</v>
      </c>
      <c r="J159" s="1581"/>
      <c r="K159" s="1582"/>
      <c r="L159" s="1305"/>
      <c r="M159" s="1077">
        <v>0</v>
      </c>
      <c r="N159" s="1077">
        <v>0</v>
      </c>
      <c r="O159" s="1077">
        <v>0</v>
      </c>
      <c r="P159" s="1075"/>
      <c r="Q159" s="1075"/>
      <c r="R159" s="1075"/>
      <c r="S159" s="1097"/>
      <c r="T159" s="1097"/>
      <c r="U159" s="1097"/>
      <c r="V159" s="1097"/>
      <c r="W159" s="1097"/>
      <c r="X159" s="1097"/>
      <c r="Y159" s="1067">
        <f t="shared" si="145"/>
        <v>300000000</v>
      </c>
      <c r="Z159" s="149"/>
      <c r="AA159" s="149"/>
      <c r="AB159" s="149"/>
      <c r="AC159" s="1067">
        <f>300000000-300000000+300000000</f>
        <v>300000000</v>
      </c>
      <c r="AD159" s="149"/>
      <c r="AE159" s="149"/>
      <c r="AF159" s="1067"/>
      <c r="AG159" s="1067"/>
      <c r="AH159" s="1067"/>
      <c r="AI159" s="1067"/>
      <c r="AJ159" s="1067"/>
      <c r="AK159" s="1067"/>
      <c r="AL159" s="1067"/>
      <c r="AM159" s="149"/>
      <c r="AN159" s="149"/>
      <c r="AO159" s="149"/>
      <c r="AP159" s="149"/>
      <c r="AQ159" s="149"/>
      <c r="AR159" s="149"/>
      <c r="AS159" s="1067"/>
      <c r="AU159" s="1082">
        <f t="shared" si="103"/>
        <v>0.99999733333333329</v>
      </c>
      <c r="AV159" s="1067">
        <f t="shared" si="146"/>
        <v>299999200</v>
      </c>
      <c r="AW159" s="1067"/>
      <c r="AX159" s="1067"/>
      <c r="AY159" s="1067"/>
      <c r="AZ159" s="1067">
        <f>+'[18]OCTUBRE 2015'!$M$271</f>
        <v>299999200</v>
      </c>
      <c r="BA159" s="1067"/>
      <c r="BB159" s="1067"/>
      <c r="BC159" s="1067"/>
      <c r="BD159" s="1067"/>
      <c r="BE159" s="1067"/>
      <c r="BF159" s="1067"/>
      <c r="BG159" s="1067"/>
      <c r="BH159" s="1067"/>
      <c r="BI159" s="1067"/>
      <c r="BJ159" s="1067"/>
      <c r="BK159" s="1067"/>
      <c r="BL159" s="1067"/>
      <c r="BM159" s="1067"/>
      <c r="BN159" s="1067"/>
      <c r="BO159" s="1067"/>
      <c r="BP159" s="1067"/>
      <c r="BQ159" s="1082">
        <f t="shared" si="105"/>
        <v>2.666666666706341E-6</v>
      </c>
      <c r="BR159" s="1067">
        <f t="shared" si="147"/>
        <v>800</v>
      </c>
      <c r="BS159" s="1067">
        <f t="shared" si="164"/>
        <v>0</v>
      </c>
      <c r="BT159" s="1067">
        <f t="shared" si="165"/>
        <v>0</v>
      </c>
      <c r="BU159" s="1067"/>
      <c r="BV159" s="1067">
        <f t="shared" si="162"/>
        <v>800</v>
      </c>
      <c r="BW159" s="1067">
        <f t="shared" si="162"/>
        <v>0</v>
      </c>
      <c r="BX159" s="1067">
        <f t="shared" si="166"/>
        <v>0</v>
      </c>
      <c r="BY159" s="1067">
        <f t="shared" si="166"/>
        <v>0</v>
      </c>
      <c r="BZ159" s="1067"/>
      <c r="CA159" s="1067">
        <f t="shared" si="167"/>
        <v>0</v>
      </c>
      <c r="CB159" s="1067">
        <f t="shared" si="167"/>
        <v>0</v>
      </c>
      <c r="CC159" s="1067">
        <f t="shared" si="167"/>
        <v>0</v>
      </c>
      <c r="CD159" s="1067">
        <f t="shared" si="167"/>
        <v>0</v>
      </c>
      <c r="CE159" s="1067">
        <f t="shared" si="167"/>
        <v>0</v>
      </c>
      <c r="CF159" s="1067">
        <f t="shared" si="167"/>
        <v>0</v>
      </c>
      <c r="CG159" s="1067">
        <f t="shared" si="167"/>
        <v>0</v>
      </c>
      <c r="CH159" s="1067">
        <f t="shared" si="167"/>
        <v>0</v>
      </c>
      <c r="CI159" s="1067">
        <f t="shared" si="167"/>
        <v>0</v>
      </c>
      <c r="CJ159" s="1067"/>
      <c r="CK159" s="1067">
        <f t="shared" si="168"/>
        <v>0</v>
      </c>
      <c r="CL159" s="1067">
        <f t="shared" si="168"/>
        <v>0</v>
      </c>
      <c r="CM159" s="1082">
        <f t="shared" si="113"/>
        <v>0.99999733333333329</v>
      </c>
      <c r="CN159" s="1067">
        <f t="shared" si="154"/>
        <v>299999200</v>
      </c>
      <c r="CO159" s="1067"/>
      <c r="CP159" s="1067"/>
      <c r="CQ159" s="1067"/>
      <c r="CR159" s="1067">
        <f>+'[18]OCTUBRE 2015'!$H$269</f>
        <v>299999200</v>
      </c>
      <c r="CS159" s="1067"/>
      <c r="CT159" s="1067"/>
      <c r="CU159" s="1067"/>
      <c r="CV159" s="1067"/>
      <c r="CW159" s="1067"/>
      <c r="CX159" s="1067"/>
      <c r="CY159" s="1067"/>
      <c r="CZ159" s="1067"/>
      <c r="DA159" s="1067"/>
      <c r="DB159" s="1067"/>
      <c r="DC159" s="1067"/>
      <c r="DD159" s="1067"/>
      <c r="DE159" s="1067"/>
      <c r="DF159" s="1067"/>
      <c r="DG159" s="1067"/>
      <c r="DH159" s="1067"/>
      <c r="DI159" s="1082">
        <f t="shared" si="115"/>
        <v>2.666666666706341E-6</v>
      </c>
      <c r="DJ159" s="1067">
        <f t="shared" si="155"/>
        <v>800</v>
      </c>
      <c r="DK159" s="1067"/>
      <c r="DL159" s="1067"/>
      <c r="DM159" s="1067"/>
      <c r="DN159" s="1067">
        <f t="shared" si="163"/>
        <v>800</v>
      </c>
      <c r="DO159" s="1067">
        <f t="shared" si="163"/>
        <v>0</v>
      </c>
      <c r="DP159" s="1067">
        <f t="shared" si="163"/>
        <v>0</v>
      </c>
      <c r="DQ159" s="1067">
        <f t="shared" si="163"/>
        <v>0</v>
      </c>
      <c r="DR159" s="1067"/>
      <c r="DS159" s="1067">
        <f t="shared" si="169"/>
        <v>0</v>
      </c>
      <c r="DT159" s="1067">
        <f t="shared" si="169"/>
        <v>0</v>
      </c>
      <c r="DU159" s="1067"/>
      <c r="DV159" s="1067">
        <f t="shared" si="170"/>
        <v>0</v>
      </c>
      <c r="DW159" s="1067">
        <f t="shared" si="170"/>
        <v>0</v>
      </c>
      <c r="DX159" s="1067">
        <f t="shared" si="170"/>
        <v>0</v>
      </c>
      <c r="DY159" s="1067">
        <f t="shared" si="171"/>
        <v>0</v>
      </c>
      <c r="DZ159" s="1067">
        <f t="shared" si="171"/>
        <v>0</v>
      </c>
      <c r="EA159" s="1067">
        <f t="shared" si="171"/>
        <v>0</v>
      </c>
      <c r="EB159" s="1067">
        <f t="shared" si="171"/>
        <v>0</v>
      </c>
      <c r="EC159" s="1067">
        <f t="shared" si="171"/>
        <v>0</v>
      </c>
      <c r="ED159" s="1067">
        <f t="shared" si="172"/>
        <v>0</v>
      </c>
    </row>
    <row r="160" spans="1:134" ht="36.75" customHeight="1" x14ac:dyDescent="0.25">
      <c r="A160" s="1560"/>
      <c r="B160" s="989"/>
      <c r="C160" s="852" t="s">
        <v>4521</v>
      </c>
      <c r="D160" s="1019" t="s">
        <v>4504</v>
      </c>
      <c r="E160" s="995">
        <v>211</v>
      </c>
      <c r="F160" s="1097" t="s">
        <v>4506</v>
      </c>
      <c r="G160" s="1400"/>
      <c r="H160" s="1061">
        <f t="shared" si="143"/>
        <v>0</v>
      </c>
      <c r="I160" s="1061">
        <f t="shared" si="144"/>
        <v>4200000</v>
      </c>
      <c r="J160" s="1581"/>
      <c r="K160" s="1582"/>
      <c r="L160" s="1305"/>
      <c r="M160" s="1096">
        <v>0</v>
      </c>
      <c r="N160" s="1096">
        <v>0</v>
      </c>
      <c r="O160" s="1096">
        <v>0</v>
      </c>
      <c r="P160" s="1093">
        <v>0</v>
      </c>
      <c r="Q160" s="1093">
        <v>0</v>
      </c>
      <c r="R160" s="1093">
        <v>0</v>
      </c>
      <c r="S160" s="1097"/>
      <c r="T160" s="1097"/>
      <c r="U160" s="1097"/>
      <c r="V160" s="1097"/>
      <c r="W160" s="1097"/>
      <c r="X160" s="1097"/>
      <c r="Y160" s="1008">
        <f t="shared" si="145"/>
        <v>4200000</v>
      </c>
      <c r="Z160" s="944"/>
      <c r="AA160" s="944"/>
      <c r="AB160" s="944"/>
      <c r="AC160" s="1008"/>
      <c r="AD160" s="944"/>
      <c r="AE160" s="944"/>
      <c r="AF160" s="1008"/>
      <c r="AG160" s="1008"/>
      <c r="AH160" s="1008"/>
      <c r="AI160" s="1008"/>
      <c r="AJ160" s="1008"/>
      <c r="AK160" s="1008"/>
      <c r="AL160" s="1008"/>
      <c r="AM160" s="149"/>
      <c r="AN160" s="149"/>
      <c r="AO160" s="149"/>
      <c r="AP160" s="149"/>
      <c r="AQ160" s="149"/>
      <c r="AR160" s="149"/>
      <c r="AS160" s="1008">
        <f>4200000</f>
        <v>4200000</v>
      </c>
      <c r="AU160" s="1011">
        <f t="shared" si="103"/>
        <v>1</v>
      </c>
      <c r="AV160" s="1008">
        <f t="shared" si="146"/>
        <v>4200000</v>
      </c>
      <c r="AW160" s="1008"/>
      <c r="AX160" s="1008"/>
      <c r="AY160" s="1008"/>
      <c r="AZ160" s="1008"/>
      <c r="BA160" s="1008"/>
      <c r="BB160" s="1008"/>
      <c r="BC160" s="1008"/>
      <c r="BD160" s="1008"/>
      <c r="BE160" s="1008"/>
      <c r="BF160" s="1008"/>
      <c r="BG160" s="1008"/>
      <c r="BH160" s="1008"/>
      <c r="BI160" s="1008"/>
      <c r="BJ160" s="1008"/>
      <c r="BK160" s="1008"/>
      <c r="BL160" s="1008"/>
      <c r="BM160" s="1008"/>
      <c r="BN160" s="1008"/>
      <c r="BO160" s="1008"/>
      <c r="BP160" s="1008">
        <f>+'[7]ENERO 2015'!$AA$166</f>
        <v>4200000</v>
      </c>
      <c r="BQ160" s="1011">
        <f t="shared" si="105"/>
        <v>0</v>
      </c>
      <c r="BR160" s="1008">
        <f t="shared" si="147"/>
        <v>0</v>
      </c>
      <c r="BS160" s="1008">
        <f t="shared" si="164"/>
        <v>0</v>
      </c>
      <c r="BT160" s="1008">
        <f t="shared" si="165"/>
        <v>0</v>
      </c>
      <c r="BU160" s="1008"/>
      <c r="BV160" s="1008">
        <f t="shared" si="162"/>
        <v>0</v>
      </c>
      <c r="BW160" s="1008">
        <f t="shared" si="162"/>
        <v>0</v>
      </c>
      <c r="BX160" s="1008">
        <f t="shared" si="166"/>
        <v>0</v>
      </c>
      <c r="BY160" s="1008">
        <f t="shared" si="166"/>
        <v>0</v>
      </c>
      <c r="BZ160" s="1008"/>
      <c r="CA160" s="1008">
        <f t="shared" si="167"/>
        <v>0</v>
      </c>
      <c r="CB160" s="1008">
        <f t="shared" si="167"/>
        <v>0</v>
      </c>
      <c r="CC160" s="1008">
        <f t="shared" si="167"/>
        <v>0</v>
      </c>
      <c r="CD160" s="1008">
        <f t="shared" si="167"/>
        <v>0</v>
      </c>
      <c r="CE160" s="1008">
        <f t="shared" si="167"/>
        <v>0</v>
      </c>
      <c r="CF160" s="1008">
        <f t="shared" si="167"/>
        <v>0</v>
      </c>
      <c r="CG160" s="1008">
        <f t="shared" si="167"/>
        <v>0</v>
      </c>
      <c r="CH160" s="1008">
        <f t="shared" si="167"/>
        <v>0</v>
      </c>
      <c r="CI160" s="1008">
        <f t="shared" si="167"/>
        <v>0</v>
      </c>
      <c r="CJ160" s="1008"/>
      <c r="CK160" s="1008">
        <f t="shared" si="168"/>
        <v>0</v>
      </c>
      <c r="CL160" s="1008">
        <f t="shared" si="168"/>
        <v>0</v>
      </c>
      <c r="CM160" s="1011">
        <f t="shared" si="113"/>
        <v>0</v>
      </c>
      <c r="CN160" s="1008">
        <f t="shared" si="154"/>
        <v>0</v>
      </c>
      <c r="CO160" s="1008"/>
      <c r="CP160" s="1008"/>
      <c r="CQ160" s="1008"/>
      <c r="CR160" s="1008"/>
      <c r="CS160" s="1008"/>
      <c r="CT160" s="1008"/>
      <c r="CU160" s="1008"/>
      <c r="CV160" s="1008"/>
      <c r="CW160" s="1008"/>
      <c r="CX160" s="1008"/>
      <c r="CY160" s="1008"/>
      <c r="CZ160" s="1008"/>
      <c r="DA160" s="1008"/>
      <c r="DB160" s="1008"/>
      <c r="DC160" s="1008"/>
      <c r="DD160" s="1008"/>
      <c r="DE160" s="1008"/>
      <c r="DF160" s="1008"/>
      <c r="DG160" s="1008"/>
      <c r="DH160" s="1008"/>
      <c r="DI160" s="1011">
        <f t="shared" si="115"/>
        <v>1</v>
      </c>
      <c r="DJ160" s="1008">
        <f t="shared" si="155"/>
        <v>4200000</v>
      </c>
      <c r="DK160" s="1008"/>
      <c r="DL160" s="1008"/>
      <c r="DM160" s="1008"/>
      <c r="DN160" s="1008">
        <f t="shared" si="163"/>
        <v>0</v>
      </c>
      <c r="DO160" s="1008">
        <f t="shared" si="163"/>
        <v>0</v>
      </c>
      <c r="DP160" s="1008">
        <f t="shared" si="163"/>
        <v>0</v>
      </c>
      <c r="DQ160" s="1008">
        <f t="shared" si="163"/>
        <v>0</v>
      </c>
      <c r="DR160" s="1008"/>
      <c r="DS160" s="1008">
        <f t="shared" si="169"/>
        <v>0</v>
      </c>
      <c r="DT160" s="1008">
        <f t="shared" si="169"/>
        <v>0</v>
      </c>
      <c r="DU160" s="1008"/>
      <c r="DV160" s="1008">
        <f t="shared" si="170"/>
        <v>0</v>
      </c>
      <c r="DW160" s="1008">
        <f t="shared" si="170"/>
        <v>0</v>
      </c>
      <c r="DX160" s="1008">
        <f t="shared" si="170"/>
        <v>0</v>
      </c>
      <c r="DY160" s="1008">
        <f t="shared" si="171"/>
        <v>0</v>
      </c>
      <c r="DZ160" s="1008">
        <f t="shared" si="171"/>
        <v>0</v>
      </c>
      <c r="EA160" s="1008">
        <f t="shared" si="171"/>
        <v>0</v>
      </c>
      <c r="EB160" s="1008">
        <f t="shared" si="171"/>
        <v>0</v>
      </c>
      <c r="EC160" s="1008">
        <f t="shared" si="171"/>
        <v>0</v>
      </c>
      <c r="ED160" s="1008">
        <f t="shared" si="172"/>
        <v>4200000</v>
      </c>
    </row>
    <row r="161" spans="1:134" ht="21" customHeight="1" x14ac:dyDescent="0.25">
      <c r="A161" s="1560"/>
      <c r="B161" s="989"/>
      <c r="C161" s="852" t="s">
        <v>4522</v>
      </c>
      <c r="D161" s="1019" t="s">
        <v>4505</v>
      </c>
      <c r="E161" s="995">
        <v>211</v>
      </c>
      <c r="F161" s="1097" t="s">
        <v>4482</v>
      </c>
      <c r="G161" s="1400"/>
      <c r="H161" s="1061">
        <f t="shared" si="143"/>
        <v>10200000</v>
      </c>
      <c r="I161" s="1061">
        <f t="shared" si="144"/>
        <v>20541545</v>
      </c>
      <c r="J161" s="1399">
        <v>299</v>
      </c>
      <c r="K161" s="1283">
        <v>399</v>
      </c>
      <c r="L161" s="1283">
        <v>309</v>
      </c>
      <c r="M161" s="1096">
        <v>0</v>
      </c>
      <c r="N161" s="1096">
        <v>0</v>
      </c>
      <c r="O161" s="1096">
        <v>0</v>
      </c>
      <c r="P161" s="1093">
        <v>0</v>
      </c>
      <c r="Q161" s="1093">
        <v>0</v>
      </c>
      <c r="R161" s="1093">
        <v>0</v>
      </c>
      <c r="S161" s="1097"/>
      <c r="T161" s="1097"/>
      <c r="U161" s="1097"/>
      <c r="V161" s="1097"/>
      <c r="W161" s="1097"/>
      <c r="X161" s="1097"/>
      <c r="Y161" s="1008">
        <f t="shared" si="145"/>
        <v>30741545</v>
      </c>
      <c r="Z161" s="944"/>
      <c r="AA161" s="944"/>
      <c r="AB161" s="944"/>
      <c r="AC161" s="1008">
        <f>124058456-124058456</f>
        <v>0</v>
      </c>
      <c r="AD161" s="944"/>
      <c r="AE161" s="944"/>
      <c r="AF161" s="1008"/>
      <c r="AG161" s="1008"/>
      <c r="AH161" s="1008"/>
      <c r="AI161" s="1008"/>
      <c r="AJ161" s="1008"/>
      <c r="AK161" s="1008">
        <v>30741545</v>
      </c>
      <c r="AL161" s="1008"/>
      <c r="AM161" s="149"/>
      <c r="AN161" s="149"/>
      <c r="AO161" s="149"/>
      <c r="AP161" s="149"/>
      <c r="AQ161" s="149"/>
      <c r="AR161" s="149"/>
      <c r="AS161" s="1008"/>
      <c r="AU161" s="1011">
        <f t="shared" si="103"/>
        <v>0.33179854818617605</v>
      </c>
      <c r="AV161" s="1008">
        <f t="shared" si="146"/>
        <v>10200000</v>
      </c>
      <c r="AW161" s="1008"/>
      <c r="AX161" s="1008"/>
      <c r="AY161" s="1008"/>
      <c r="AZ161" s="1008"/>
      <c r="BA161" s="1008"/>
      <c r="BB161" s="1008"/>
      <c r="BC161" s="1008"/>
      <c r="BD161" s="1008"/>
      <c r="BE161" s="1008"/>
      <c r="BF161" s="1008"/>
      <c r="BG161" s="1008"/>
      <c r="BH161" s="1008">
        <f>+'[17]SEPTIEMBRE 2015'!$U$271</f>
        <v>10200000</v>
      </c>
      <c r="BI161" s="1008"/>
      <c r="BJ161" s="1008"/>
      <c r="BK161" s="1008"/>
      <c r="BL161" s="1008"/>
      <c r="BM161" s="1008"/>
      <c r="BN161" s="1008"/>
      <c r="BO161" s="1008"/>
      <c r="BP161" s="1008"/>
      <c r="BQ161" s="1011">
        <f t="shared" si="105"/>
        <v>0.66820145181382395</v>
      </c>
      <c r="BR161" s="1008">
        <f t="shared" si="147"/>
        <v>20541545</v>
      </c>
      <c r="BS161" s="1008">
        <f t="shared" si="164"/>
        <v>0</v>
      </c>
      <c r="BT161" s="1008">
        <f t="shared" si="165"/>
        <v>0</v>
      </c>
      <c r="BU161" s="1008"/>
      <c r="BV161" s="1008">
        <f t="shared" si="162"/>
        <v>0</v>
      </c>
      <c r="BW161" s="1008">
        <f t="shared" si="162"/>
        <v>0</v>
      </c>
      <c r="BX161" s="1008">
        <f t="shared" si="166"/>
        <v>0</v>
      </c>
      <c r="BY161" s="1008">
        <f t="shared" si="166"/>
        <v>0</v>
      </c>
      <c r="BZ161" s="1008"/>
      <c r="CA161" s="1008">
        <f t="shared" si="167"/>
        <v>0</v>
      </c>
      <c r="CB161" s="1008">
        <f t="shared" si="167"/>
        <v>0</v>
      </c>
      <c r="CC161" s="1008">
        <f t="shared" si="167"/>
        <v>0</v>
      </c>
      <c r="CD161" s="1008">
        <f t="shared" si="167"/>
        <v>20541545</v>
      </c>
      <c r="CE161" s="1008">
        <f t="shared" si="167"/>
        <v>0</v>
      </c>
      <c r="CF161" s="1008">
        <f t="shared" si="167"/>
        <v>0</v>
      </c>
      <c r="CG161" s="1008">
        <f t="shared" si="167"/>
        <v>0</v>
      </c>
      <c r="CH161" s="1008">
        <f t="shared" si="167"/>
        <v>0</v>
      </c>
      <c r="CI161" s="1008">
        <f t="shared" si="167"/>
        <v>0</v>
      </c>
      <c r="CJ161" s="1008"/>
      <c r="CK161" s="1008">
        <f t="shared" si="168"/>
        <v>0</v>
      </c>
      <c r="CL161" s="1008">
        <f t="shared" si="168"/>
        <v>0</v>
      </c>
      <c r="CM161" s="1011">
        <f t="shared" si="113"/>
        <v>0.33179854818617605</v>
      </c>
      <c r="CN161" s="1008">
        <f t="shared" si="154"/>
        <v>10200000</v>
      </c>
      <c r="CO161" s="1008"/>
      <c r="CP161" s="1008"/>
      <c r="CQ161" s="1008"/>
      <c r="CR161" s="1008"/>
      <c r="CS161" s="1008"/>
      <c r="CT161" s="1008"/>
      <c r="CU161" s="1008"/>
      <c r="CV161" s="1008"/>
      <c r="CW161" s="1008"/>
      <c r="CX161" s="1008"/>
      <c r="CY161" s="1008"/>
      <c r="CZ161" s="1008">
        <f>+'[18]OCTUBRE 2015'!$U$282</f>
        <v>10200000</v>
      </c>
      <c r="DA161" s="1008"/>
      <c r="DB161" s="1008"/>
      <c r="DC161" s="1008"/>
      <c r="DD161" s="1008"/>
      <c r="DE161" s="1008"/>
      <c r="DF161" s="1008"/>
      <c r="DG161" s="1008"/>
      <c r="DH161" s="1008"/>
      <c r="DI161" s="1011">
        <f t="shared" si="115"/>
        <v>0.66820145181382395</v>
      </c>
      <c r="DJ161" s="1008">
        <f t="shared" si="155"/>
        <v>20541545</v>
      </c>
      <c r="DK161" s="1008"/>
      <c r="DL161" s="1008"/>
      <c r="DM161" s="1008"/>
      <c r="DN161" s="1008">
        <f t="shared" si="163"/>
        <v>0</v>
      </c>
      <c r="DO161" s="1008">
        <f t="shared" si="163"/>
        <v>0</v>
      </c>
      <c r="DP161" s="1008">
        <f t="shared" si="163"/>
        <v>0</v>
      </c>
      <c r="DQ161" s="1008">
        <f t="shared" si="163"/>
        <v>0</v>
      </c>
      <c r="DR161" s="1008"/>
      <c r="DS161" s="1008">
        <f t="shared" si="169"/>
        <v>0</v>
      </c>
      <c r="DT161" s="1008">
        <f t="shared" si="169"/>
        <v>0</v>
      </c>
      <c r="DU161" s="1008"/>
      <c r="DV161" s="1008">
        <f t="shared" si="170"/>
        <v>20541545</v>
      </c>
      <c r="DW161" s="1008">
        <f t="shared" si="170"/>
        <v>0</v>
      </c>
      <c r="DX161" s="1008">
        <f t="shared" si="170"/>
        <v>0</v>
      </c>
      <c r="DY161" s="1008">
        <f t="shared" si="171"/>
        <v>0</v>
      </c>
      <c r="DZ161" s="1008">
        <f t="shared" si="171"/>
        <v>0</v>
      </c>
      <c r="EA161" s="1008">
        <f t="shared" si="171"/>
        <v>0</v>
      </c>
      <c r="EB161" s="1008">
        <f t="shared" si="171"/>
        <v>0</v>
      </c>
      <c r="EC161" s="1008">
        <f t="shared" si="171"/>
        <v>0</v>
      </c>
      <c r="ED161" s="1008">
        <f t="shared" si="172"/>
        <v>0</v>
      </c>
    </row>
    <row r="162" spans="1:134" ht="40.5" customHeight="1" x14ac:dyDescent="0.25">
      <c r="A162" s="1560"/>
      <c r="B162" s="989"/>
      <c r="C162" s="852" t="s">
        <v>4523</v>
      </c>
      <c r="D162" s="1019" t="s">
        <v>4507</v>
      </c>
      <c r="E162" s="995">
        <v>211</v>
      </c>
      <c r="F162" s="1097" t="s">
        <v>4482</v>
      </c>
      <c r="G162" s="1400"/>
      <c r="H162" s="1061">
        <f t="shared" si="143"/>
        <v>239816980</v>
      </c>
      <c r="I162" s="1061">
        <f t="shared" si="144"/>
        <v>0</v>
      </c>
      <c r="J162" s="1400"/>
      <c r="K162" s="1573"/>
      <c r="L162" s="1573"/>
      <c r="M162" s="1096">
        <v>0</v>
      </c>
      <c r="N162" s="1096">
        <v>0</v>
      </c>
      <c r="O162" s="1096">
        <v>0</v>
      </c>
      <c r="P162" s="1093">
        <v>100</v>
      </c>
      <c r="Q162" s="1093">
        <v>100</v>
      </c>
      <c r="R162" s="1093">
        <v>100</v>
      </c>
      <c r="S162" s="1097"/>
      <c r="T162" s="1097"/>
      <c r="U162" s="1097"/>
      <c r="V162" s="1097"/>
      <c r="W162" s="1097"/>
      <c r="X162" s="1097"/>
      <c r="Y162" s="1008">
        <f t="shared" ref="Y162:Y193" si="173">SUM(Z162:AS162)</f>
        <v>239816980</v>
      </c>
      <c r="Z162" s="944"/>
      <c r="AA162" s="944"/>
      <c r="AB162" s="944"/>
      <c r="AC162" s="1008">
        <f>101542660+138457340-183020</f>
        <v>239816980</v>
      </c>
      <c r="AD162" s="944"/>
      <c r="AE162" s="944"/>
      <c r="AF162" s="1008">
        <f>169457340-169457340</f>
        <v>0</v>
      </c>
      <c r="AG162" s="1008"/>
      <c r="AH162" s="1008"/>
      <c r="AI162" s="1008"/>
      <c r="AJ162" s="1008"/>
      <c r="AK162" s="1008"/>
      <c r="AL162" s="1008"/>
      <c r="AM162" s="149"/>
      <c r="AN162" s="149"/>
      <c r="AO162" s="149"/>
      <c r="AP162" s="149"/>
      <c r="AQ162" s="149"/>
      <c r="AR162" s="149"/>
      <c r="AS162" s="1008"/>
      <c r="AU162" s="1011">
        <f t="shared" si="103"/>
        <v>1</v>
      </c>
      <c r="AV162" s="1008">
        <f t="shared" ref="AV162:AV193" si="174">SUM(AW162:BP162)</f>
        <v>239816980</v>
      </c>
      <c r="AW162" s="1008"/>
      <c r="AX162" s="1008"/>
      <c r="AY162" s="1008"/>
      <c r="AZ162" s="1008">
        <f>+'[14]JUNIO 2015'!$M$235</f>
        <v>239816980</v>
      </c>
      <c r="BA162" s="1008"/>
      <c r="BB162" s="1008"/>
      <c r="BC162" s="1008"/>
      <c r="BD162" s="1008"/>
      <c r="BE162" s="1008"/>
      <c r="BF162" s="1008"/>
      <c r="BG162" s="1008"/>
      <c r="BH162" s="1008"/>
      <c r="BI162" s="1008"/>
      <c r="BJ162" s="1008"/>
      <c r="BK162" s="1008"/>
      <c r="BL162" s="1008"/>
      <c r="BM162" s="1008"/>
      <c r="BN162" s="1008"/>
      <c r="BO162" s="1008"/>
      <c r="BP162" s="1008"/>
      <c r="BQ162" s="1011">
        <f t="shared" si="105"/>
        <v>0</v>
      </c>
      <c r="BR162" s="1008">
        <f t="shared" ref="BR162:BR194" si="175">SUM(BS162:CL162)</f>
        <v>0</v>
      </c>
      <c r="BS162" s="1008">
        <f t="shared" si="164"/>
        <v>0</v>
      </c>
      <c r="BT162" s="1008">
        <f t="shared" si="165"/>
        <v>0</v>
      </c>
      <c r="BU162" s="1008"/>
      <c r="BV162" s="1008">
        <f t="shared" si="162"/>
        <v>0</v>
      </c>
      <c r="BW162" s="1008">
        <f t="shared" si="162"/>
        <v>0</v>
      </c>
      <c r="BX162" s="1008">
        <f t="shared" si="166"/>
        <v>0</v>
      </c>
      <c r="BY162" s="1008">
        <f t="shared" si="166"/>
        <v>0</v>
      </c>
      <c r="BZ162" s="1008"/>
      <c r="CA162" s="1008">
        <f t="shared" si="167"/>
        <v>0</v>
      </c>
      <c r="CB162" s="1008">
        <f t="shared" si="167"/>
        <v>0</v>
      </c>
      <c r="CC162" s="1008">
        <f t="shared" si="167"/>
        <v>0</v>
      </c>
      <c r="CD162" s="1008">
        <f t="shared" si="167"/>
        <v>0</v>
      </c>
      <c r="CE162" s="1008">
        <f t="shared" si="167"/>
        <v>0</v>
      </c>
      <c r="CF162" s="1008">
        <f t="shared" si="167"/>
        <v>0</v>
      </c>
      <c r="CG162" s="1008">
        <f t="shared" si="167"/>
        <v>0</v>
      </c>
      <c r="CH162" s="1008">
        <f t="shared" si="167"/>
        <v>0</v>
      </c>
      <c r="CI162" s="1008">
        <f t="shared" si="167"/>
        <v>0</v>
      </c>
      <c r="CJ162" s="1008"/>
      <c r="CK162" s="1008">
        <f t="shared" si="168"/>
        <v>0</v>
      </c>
      <c r="CL162" s="1008">
        <f t="shared" si="168"/>
        <v>0</v>
      </c>
      <c r="CM162" s="1011">
        <f t="shared" si="113"/>
        <v>1</v>
      </c>
      <c r="CN162" s="1008">
        <f t="shared" ref="CN162:CN194" si="176">SUM(CO162:DH162)</f>
        <v>239816980</v>
      </c>
      <c r="CO162" s="1008"/>
      <c r="CP162" s="1008"/>
      <c r="CQ162" s="1008"/>
      <c r="CR162" s="1008">
        <f>+'[11]ABRIL 2015'!$H$216</f>
        <v>239816980</v>
      </c>
      <c r="CS162" s="1008"/>
      <c r="CT162" s="1008"/>
      <c r="CU162" s="1008"/>
      <c r="CV162" s="1008"/>
      <c r="CW162" s="1008"/>
      <c r="CX162" s="1008"/>
      <c r="CY162" s="1008"/>
      <c r="CZ162" s="1008"/>
      <c r="DA162" s="1008"/>
      <c r="DB162" s="1008"/>
      <c r="DC162" s="1008"/>
      <c r="DD162" s="1008"/>
      <c r="DE162" s="1008"/>
      <c r="DF162" s="1008"/>
      <c r="DG162" s="1008"/>
      <c r="DH162" s="1008"/>
      <c r="DI162" s="1011">
        <f t="shared" si="115"/>
        <v>0</v>
      </c>
      <c r="DJ162" s="1008">
        <f t="shared" ref="DJ162:DJ194" si="177">SUM(DK162:ED162)</f>
        <v>0</v>
      </c>
      <c r="DK162" s="1008"/>
      <c r="DL162" s="1008"/>
      <c r="DM162" s="1008"/>
      <c r="DN162" s="1008">
        <f t="shared" si="163"/>
        <v>0</v>
      </c>
      <c r="DO162" s="1008">
        <f t="shared" si="163"/>
        <v>0</v>
      </c>
      <c r="DP162" s="1008">
        <f t="shared" si="163"/>
        <v>0</v>
      </c>
      <c r="DQ162" s="1008">
        <f t="shared" si="163"/>
        <v>0</v>
      </c>
      <c r="DR162" s="1008"/>
      <c r="DS162" s="1008">
        <f t="shared" si="169"/>
        <v>0</v>
      </c>
      <c r="DT162" s="1008">
        <f t="shared" si="169"/>
        <v>0</v>
      </c>
      <c r="DU162" s="1008"/>
      <c r="DV162" s="1008">
        <f t="shared" si="170"/>
        <v>0</v>
      </c>
      <c r="DW162" s="1008">
        <f t="shared" si="170"/>
        <v>0</v>
      </c>
      <c r="DX162" s="1008">
        <f t="shared" si="170"/>
        <v>0</v>
      </c>
      <c r="DY162" s="1008">
        <f t="shared" si="171"/>
        <v>0</v>
      </c>
      <c r="DZ162" s="1008">
        <f t="shared" si="171"/>
        <v>0</v>
      </c>
      <c r="EA162" s="1008">
        <f t="shared" si="171"/>
        <v>0</v>
      </c>
      <c r="EB162" s="1008">
        <f t="shared" si="171"/>
        <v>0</v>
      </c>
      <c r="EC162" s="1008">
        <f t="shared" si="171"/>
        <v>0</v>
      </c>
      <c r="ED162" s="1008">
        <f t="shared" si="172"/>
        <v>0</v>
      </c>
    </row>
    <row r="163" spans="1:134" s="203" customFormat="1" ht="33.75" customHeight="1" x14ac:dyDescent="0.25">
      <c r="A163" s="1560"/>
      <c r="B163" s="989"/>
      <c r="C163" s="1081" t="s">
        <v>4524</v>
      </c>
      <c r="D163" s="1019" t="s">
        <v>4508</v>
      </c>
      <c r="E163" s="997">
        <v>211</v>
      </c>
      <c r="F163" s="1097" t="s">
        <v>4482</v>
      </c>
      <c r="G163" s="1400"/>
      <c r="H163" s="1061">
        <f t="shared" si="143"/>
        <v>0</v>
      </c>
      <c r="I163" s="1061">
        <f t="shared" si="144"/>
        <v>0</v>
      </c>
      <c r="J163" s="1401"/>
      <c r="K163" s="1284"/>
      <c r="L163" s="1284"/>
      <c r="M163" s="1077">
        <v>0</v>
      </c>
      <c r="N163" s="1077">
        <v>0</v>
      </c>
      <c r="O163" s="1077">
        <v>0</v>
      </c>
      <c r="P163" s="1075"/>
      <c r="Q163" s="1075"/>
      <c r="R163" s="1075"/>
      <c r="S163" s="1097"/>
      <c r="T163" s="1097"/>
      <c r="U163" s="1097"/>
      <c r="V163" s="1097"/>
      <c r="W163" s="1097"/>
      <c r="X163" s="1097"/>
      <c r="Y163" s="1067">
        <f t="shared" si="173"/>
        <v>0</v>
      </c>
      <c r="Z163" s="149"/>
      <c r="AA163" s="1067">
        <f>353000000-353000000</f>
        <v>0</v>
      </c>
      <c r="AB163" s="1067"/>
      <c r="AC163" s="1067">
        <f>99815599-99815599</f>
        <v>0</v>
      </c>
      <c r="AD163" s="1067"/>
      <c r="AE163" s="1067"/>
      <c r="AF163" s="1067">
        <f>500000000-37000000-110000000-353000000</f>
        <v>0</v>
      </c>
      <c r="AG163" s="149"/>
      <c r="AH163" s="149"/>
      <c r="AI163" s="149"/>
      <c r="AJ163" s="149"/>
      <c r="AK163" s="149"/>
      <c r="AL163" s="149"/>
      <c r="AM163" s="149"/>
      <c r="AN163" s="149"/>
      <c r="AO163" s="149"/>
      <c r="AP163" s="149"/>
      <c r="AQ163" s="149"/>
      <c r="AR163" s="149"/>
      <c r="AS163" s="1067"/>
      <c r="AU163" s="1082" t="e">
        <f t="shared" si="103"/>
        <v>#DIV/0!</v>
      </c>
      <c r="AV163" s="1067">
        <f t="shared" si="174"/>
        <v>0</v>
      </c>
      <c r="AW163" s="1067"/>
      <c r="AX163" s="1067"/>
      <c r="AY163" s="1067"/>
      <c r="AZ163" s="1067"/>
      <c r="BA163" s="1067"/>
      <c r="BB163" s="1067"/>
      <c r="BC163" s="1067"/>
      <c r="BD163" s="1067"/>
      <c r="BE163" s="1067"/>
      <c r="BF163" s="1067"/>
      <c r="BG163" s="1067"/>
      <c r="BH163" s="1067"/>
      <c r="BI163" s="1067"/>
      <c r="BJ163" s="1067"/>
      <c r="BK163" s="1067"/>
      <c r="BL163" s="1067"/>
      <c r="BM163" s="1067"/>
      <c r="BN163" s="1067"/>
      <c r="BO163" s="1067"/>
      <c r="BP163" s="1067"/>
      <c r="BQ163" s="1082" t="e">
        <f t="shared" si="105"/>
        <v>#DIV/0!</v>
      </c>
      <c r="BR163" s="1067">
        <f t="shared" si="175"/>
        <v>0</v>
      </c>
      <c r="BS163" s="1067">
        <f t="shared" si="164"/>
        <v>0</v>
      </c>
      <c r="BT163" s="1067">
        <f t="shared" si="165"/>
        <v>0</v>
      </c>
      <c r="BU163" s="1067"/>
      <c r="BV163" s="1067">
        <f t="shared" si="162"/>
        <v>0</v>
      </c>
      <c r="BW163" s="1067">
        <f t="shared" si="162"/>
        <v>0</v>
      </c>
      <c r="BX163" s="1067">
        <f t="shared" si="166"/>
        <v>0</v>
      </c>
      <c r="BY163" s="1067">
        <f t="shared" si="166"/>
        <v>0</v>
      </c>
      <c r="BZ163" s="1067"/>
      <c r="CA163" s="1067">
        <f t="shared" si="167"/>
        <v>0</v>
      </c>
      <c r="CB163" s="1067">
        <f t="shared" si="167"/>
        <v>0</v>
      </c>
      <c r="CC163" s="1067">
        <f t="shared" si="167"/>
        <v>0</v>
      </c>
      <c r="CD163" s="1067">
        <f t="shared" si="167"/>
        <v>0</v>
      </c>
      <c r="CE163" s="1067">
        <f t="shared" si="167"/>
        <v>0</v>
      </c>
      <c r="CF163" s="1067">
        <f t="shared" si="167"/>
        <v>0</v>
      </c>
      <c r="CG163" s="1067">
        <f t="shared" si="167"/>
        <v>0</v>
      </c>
      <c r="CH163" s="1067">
        <f t="shared" si="167"/>
        <v>0</v>
      </c>
      <c r="CI163" s="1067">
        <f t="shared" si="167"/>
        <v>0</v>
      </c>
      <c r="CJ163" s="1067">
        <f>+AQ163-BN163</f>
        <v>0</v>
      </c>
      <c r="CK163" s="1067">
        <f t="shared" si="168"/>
        <v>0</v>
      </c>
      <c r="CL163" s="1067">
        <f t="shared" si="168"/>
        <v>0</v>
      </c>
      <c r="CM163" s="1082" t="e">
        <f t="shared" si="113"/>
        <v>#DIV/0!</v>
      </c>
      <c r="CN163" s="1067">
        <f t="shared" si="176"/>
        <v>0</v>
      </c>
      <c r="CO163" s="1067"/>
      <c r="CP163" s="1067"/>
      <c r="CQ163" s="1067"/>
      <c r="CR163" s="1067"/>
      <c r="CS163" s="1067"/>
      <c r="CT163" s="1067"/>
      <c r="CU163" s="1067"/>
      <c r="CV163" s="1067"/>
      <c r="CW163" s="1067"/>
      <c r="CX163" s="1067"/>
      <c r="CY163" s="1067"/>
      <c r="CZ163" s="1067"/>
      <c r="DA163" s="1067"/>
      <c r="DB163" s="1067"/>
      <c r="DC163" s="1067"/>
      <c r="DD163" s="1067"/>
      <c r="DE163" s="1067"/>
      <c r="DF163" s="1067"/>
      <c r="DG163" s="1067"/>
      <c r="DH163" s="1067"/>
      <c r="DI163" s="1082" t="e">
        <f t="shared" si="115"/>
        <v>#DIV/0!</v>
      </c>
      <c r="DJ163" s="1067">
        <f t="shared" si="177"/>
        <v>0</v>
      </c>
      <c r="DK163" s="1067"/>
      <c r="DL163" s="1067">
        <f>AA163-CP163</f>
        <v>0</v>
      </c>
      <c r="DM163" s="1067">
        <f>AB163-CQ163</f>
        <v>0</v>
      </c>
      <c r="DN163" s="1067">
        <f t="shared" si="163"/>
        <v>0</v>
      </c>
      <c r="DO163" s="1067">
        <f t="shared" si="163"/>
        <v>0</v>
      </c>
      <c r="DP163" s="1067">
        <f t="shared" si="163"/>
        <v>0</v>
      </c>
      <c r="DQ163" s="1067">
        <f t="shared" si="163"/>
        <v>0</v>
      </c>
      <c r="DR163" s="1067"/>
      <c r="DS163" s="1067">
        <f t="shared" si="169"/>
        <v>0</v>
      </c>
      <c r="DT163" s="1067">
        <f t="shared" si="169"/>
        <v>0</v>
      </c>
      <c r="DU163" s="1067"/>
      <c r="DV163" s="1067">
        <f t="shared" si="170"/>
        <v>0</v>
      </c>
      <c r="DW163" s="1067">
        <f t="shared" si="170"/>
        <v>0</v>
      </c>
      <c r="DX163" s="1067">
        <f t="shared" si="170"/>
        <v>0</v>
      </c>
      <c r="DY163" s="1067">
        <f t="shared" si="171"/>
        <v>0</v>
      </c>
      <c r="DZ163" s="1067">
        <f t="shared" si="171"/>
        <v>0</v>
      </c>
      <c r="EA163" s="1067">
        <f t="shared" si="171"/>
        <v>0</v>
      </c>
      <c r="EB163" s="1067">
        <f t="shared" si="171"/>
        <v>0</v>
      </c>
      <c r="EC163" s="1067">
        <f t="shared" si="171"/>
        <v>0</v>
      </c>
      <c r="ED163" s="1067">
        <f t="shared" si="172"/>
        <v>0</v>
      </c>
    </row>
    <row r="164" spans="1:134" ht="42.75" customHeight="1" x14ac:dyDescent="0.25">
      <c r="A164" s="1560"/>
      <c r="B164" s="989"/>
      <c r="C164" s="852" t="s">
        <v>4525</v>
      </c>
      <c r="D164" s="1019" t="s">
        <v>4673</v>
      </c>
      <c r="E164" s="995">
        <v>211</v>
      </c>
      <c r="F164" s="1097" t="s">
        <v>4819</v>
      </c>
      <c r="G164" s="1400"/>
      <c r="H164" s="1061">
        <f t="shared" si="143"/>
        <v>63401130</v>
      </c>
      <c r="I164" s="1061">
        <f t="shared" si="144"/>
        <v>397373984</v>
      </c>
      <c r="J164" s="1575">
        <v>58</v>
      </c>
      <c r="K164" s="1578">
        <v>98</v>
      </c>
      <c r="L164" s="1283">
        <v>63</v>
      </c>
      <c r="M164" s="1096">
        <v>0</v>
      </c>
      <c r="N164" s="1096">
        <v>0</v>
      </c>
      <c r="O164" s="1096">
        <v>0</v>
      </c>
      <c r="P164" s="1093">
        <v>16</v>
      </c>
      <c r="Q164" s="1093">
        <v>0</v>
      </c>
      <c r="R164" s="1093">
        <v>0</v>
      </c>
      <c r="S164" s="1097"/>
      <c r="T164" s="1097"/>
      <c r="U164" s="1097"/>
      <c r="V164" s="1097"/>
      <c r="W164" s="1097"/>
      <c r="X164" s="1097"/>
      <c r="Y164" s="1008">
        <f t="shared" si="173"/>
        <v>460775114</v>
      </c>
      <c r="Z164" s="944"/>
      <c r="AA164" s="1008"/>
      <c r="AB164" s="1008"/>
      <c r="AC164" s="1008">
        <v>420000000</v>
      </c>
      <c r="AD164" s="1008"/>
      <c r="AE164" s="1008"/>
      <c r="AF164" s="1008"/>
      <c r="AG164" s="944"/>
      <c r="AH164" s="944"/>
      <c r="AI164" s="149"/>
      <c r="AJ164" s="149"/>
      <c r="AK164" s="149"/>
      <c r="AL164" s="149"/>
      <c r="AM164" s="149"/>
      <c r="AN164" s="944"/>
      <c r="AO164" s="944"/>
      <c r="AP164" s="944"/>
      <c r="AQ164" s="944"/>
      <c r="AR164" s="944"/>
      <c r="AS164" s="1008">
        <f>37000000+3775114</f>
        <v>40775114</v>
      </c>
      <c r="AU164" s="1011">
        <f t="shared" si="103"/>
        <v>0.78585471523533712</v>
      </c>
      <c r="AV164" s="1008">
        <f t="shared" si="174"/>
        <v>362102296</v>
      </c>
      <c r="AW164" s="1008"/>
      <c r="AX164" s="1008"/>
      <c r="AY164" s="1008"/>
      <c r="AZ164" s="1008">
        <f>+'[17]SEPTIEMBRE 2015'!$M$291</f>
        <v>325102296</v>
      </c>
      <c r="BA164" s="1008"/>
      <c r="BB164" s="1008"/>
      <c r="BC164" s="1008"/>
      <c r="BD164" s="1008"/>
      <c r="BE164" s="1008"/>
      <c r="BF164" s="1008"/>
      <c r="BG164" s="1008"/>
      <c r="BH164" s="1008"/>
      <c r="BI164" s="1008"/>
      <c r="BJ164" s="1008"/>
      <c r="BK164" s="1008"/>
      <c r="BL164" s="1008"/>
      <c r="BM164" s="1008"/>
      <c r="BN164" s="1008"/>
      <c r="BO164" s="1008"/>
      <c r="BP164" s="1008">
        <f>+'[9]FEBRERO 2015'!$G$196</f>
        <v>37000000</v>
      </c>
      <c r="BQ164" s="1011">
        <f t="shared" si="105"/>
        <v>0.21414528476466288</v>
      </c>
      <c r="BR164" s="1008">
        <f t="shared" si="175"/>
        <v>98672818</v>
      </c>
      <c r="BS164" s="1008">
        <f t="shared" si="164"/>
        <v>0</v>
      </c>
      <c r="BT164" s="1008">
        <f t="shared" si="165"/>
        <v>0</v>
      </c>
      <c r="BU164" s="1008"/>
      <c r="BV164" s="1008">
        <f t="shared" si="162"/>
        <v>94897704</v>
      </c>
      <c r="BW164" s="1008">
        <f t="shared" si="162"/>
        <v>0</v>
      </c>
      <c r="BX164" s="1008">
        <f t="shared" si="166"/>
        <v>0</v>
      </c>
      <c r="BY164" s="1008">
        <f t="shared" si="166"/>
        <v>0</v>
      </c>
      <c r="BZ164" s="1008"/>
      <c r="CA164" s="1008">
        <f t="shared" si="167"/>
        <v>0</v>
      </c>
      <c r="CB164" s="1008">
        <f t="shared" si="167"/>
        <v>0</v>
      </c>
      <c r="CC164" s="1008">
        <f t="shared" si="167"/>
        <v>0</v>
      </c>
      <c r="CD164" s="1008">
        <f t="shared" si="167"/>
        <v>0</v>
      </c>
      <c r="CE164" s="1008">
        <f t="shared" si="167"/>
        <v>0</v>
      </c>
      <c r="CF164" s="1008">
        <f t="shared" si="167"/>
        <v>0</v>
      </c>
      <c r="CG164" s="1008">
        <f t="shared" si="167"/>
        <v>0</v>
      </c>
      <c r="CH164" s="1008">
        <f t="shared" si="167"/>
        <v>0</v>
      </c>
      <c r="CI164" s="1008">
        <f t="shared" si="167"/>
        <v>0</v>
      </c>
      <c r="CJ164" s="1008"/>
      <c r="CK164" s="1008">
        <f t="shared" si="168"/>
        <v>0</v>
      </c>
      <c r="CL164" s="1008">
        <f t="shared" si="168"/>
        <v>3775114</v>
      </c>
      <c r="CM164" s="1011">
        <f t="shared" si="113"/>
        <v>0.13759668886978996</v>
      </c>
      <c r="CN164" s="1008">
        <f t="shared" si="176"/>
        <v>63401130</v>
      </c>
      <c r="CO164" s="1008"/>
      <c r="CP164" s="1008"/>
      <c r="CQ164" s="1008"/>
      <c r="CR164" s="1008">
        <f>+'[18]OCTUBRE 2015'!$H$310</f>
        <v>26401136</v>
      </c>
      <c r="CS164" s="1008"/>
      <c r="CT164" s="1008"/>
      <c r="CU164" s="1008"/>
      <c r="CV164" s="1008"/>
      <c r="CW164" s="1008"/>
      <c r="CX164" s="1008"/>
      <c r="CY164" s="1008"/>
      <c r="CZ164" s="1008"/>
      <c r="DA164" s="1008"/>
      <c r="DB164" s="1008"/>
      <c r="DC164" s="1008"/>
      <c r="DD164" s="1008"/>
      <c r="DE164" s="1008"/>
      <c r="DF164" s="1008"/>
      <c r="DG164" s="1008"/>
      <c r="DH164" s="1008">
        <f>+'[17]SEPTIEMBRE 2015'!$H$292</f>
        <v>36999994</v>
      </c>
      <c r="DI164" s="1011">
        <f t="shared" si="115"/>
        <v>0.86240331113021007</v>
      </c>
      <c r="DJ164" s="1008">
        <f t="shared" si="177"/>
        <v>397373984</v>
      </c>
      <c r="DK164" s="1008"/>
      <c r="DL164" s="1008"/>
      <c r="DM164" s="1008"/>
      <c r="DN164" s="1008">
        <f t="shared" si="163"/>
        <v>393598864</v>
      </c>
      <c r="DO164" s="1008">
        <f t="shared" si="163"/>
        <v>0</v>
      </c>
      <c r="DP164" s="1008">
        <f t="shared" si="163"/>
        <v>0</v>
      </c>
      <c r="DQ164" s="1008">
        <f t="shared" si="163"/>
        <v>0</v>
      </c>
      <c r="DR164" s="1008"/>
      <c r="DS164" s="1008">
        <f t="shared" si="169"/>
        <v>0</v>
      </c>
      <c r="DT164" s="1008">
        <f t="shared" si="169"/>
        <v>0</v>
      </c>
      <c r="DU164" s="1008"/>
      <c r="DV164" s="1008">
        <f t="shared" si="170"/>
        <v>0</v>
      </c>
      <c r="DW164" s="1008">
        <f t="shared" si="170"/>
        <v>0</v>
      </c>
      <c r="DX164" s="1008">
        <f t="shared" si="170"/>
        <v>0</v>
      </c>
      <c r="DY164" s="1008">
        <f t="shared" si="171"/>
        <v>0</v>
      </c>
      <c r="DZ164" s="1008">
        <f t="shared" si="171"/>
        <v>0</v>
      </c>
      <c r="EA164" s="1008">
        <f t="shared" si="171"/>
        <v>0</v>
      </c>
      <c r="EB164" s="1008">
        <f t="shared" si="171"/>
        <v>0</v>
      </c>
      <c r="EC164" s="1008">
        <f t="shared" si="171"/>
        <v>0</v>
      </c>
      <c r="ED164" s="1008">
        <f t="shared" si="172"/>
        <v>3775120</v>
      </c>
    </row>
    <row r="165" spans="1:134" ht="81" customHeight="1" x14ac:dyDescent="0.25">
      <c r="A165" s="1560"/>
      <c r="B165" s="989"/>
      <c r="C165" s="852" t="s">
        <v>4526</v>
      </c>
      <c r="D165" s="1019" t="s">
        <v>4641</v>
      </c>
      <c r="E165" s="995">
        <v>211</v>
      </c>
      <c r="F165" s="1097" t="s">
        <v>4672</v>
      </c>
      <c r="G165" s="1400"/>
      <c r="H165" s="1061">
        <f t="shared" si="143"/>
        <v>40753510</v>
      </c>
      <c r="I165" s="1061">
        <f t="shared" si="144"/>
        <v>36453427</v>
      </c>
      <c r="J165" s="1576"/>
      <c r="K165" s="1579"/>
      <c r="L165" s="1573"/>
      <c r="M165" s="1096">
        <v>0</v>
      </c>
      <c r="N165" s="1096">
        <v>0</v>
      </c>
      <c r="O165" s="1096">
        <v>0</v>
      </c>
      <c r="P165" s="1093">
        <v>29</v>
      </c>
      <c r="Q165" s="1093">
        <v>0</v>
      </c>
      <c r="R165" s="1093">
        <v>0</v>
      </c>
      <c r="S165" s="1097"/>
      <c r="T165" s="1097"/>
      <c r="U165" s="1097"/>
      <c r="V165" s="1097"/>
      <c r="W165" s="1097"/>
      <c r="X165" s="1097"/>
      <c r="Y165" s="1008">
        <f t="shared" si="173"/>
        <v>77206937</v>
      </c>
      <c r="Z165" s="944"/>
      <c r="AA165" s="1008"/>
      <c r="AB165" s="1008"/>
      <c r="AC165" s="1008"/>
      <c r="AD165" s="1008"/>
      <c r="AE165" s="1008"/>
      <c r="AF165" s="1008"/>
      <c r="AG165" s="944"/>
      <c r="AH165" s="944"/>
      <c r="AI165" s="149"/>
      <c r="AJ165" s="149"/>
      <c r="AK165" s="149"/>
      <c r="AL165" s="149"/>
      <c r="AM165" s="149"/>
      <c r="AN165" s="944"/>
      <c r="AO165" s="944"/>
      <c r="AP165" s="944"/>
      <c r="AQ165" s="944"/>
      <c r="AR165" s="944"/>
      <c r="AS165" s="1008">
        <f>6158702+2689112+21598701+428146+6000101+7556188+25983466+3000000+3792521</f>
        <v>77206937</v>
      </c>
      <c r="AU165" s="1011">
        <f t="shared" si="103"/>
        <v>0.88700854691334274</v>
      </c>
      <c r="AV165" s="1008">
        <f t="shared" si="174"/>
        <v>68483213</v>
      </c>
      <c r="AW165" s="1008"/>
      <c r="AX165" s="1008"/>
      <c r="AY165" s="1008"/>
      <c r="AZ165" s="1008"/>
      <c r="BA165" s="1008"/>
      <c r="BB165" s="1008"/>
      <c r="BC165" s="1008"/>
      <c r="BD165" s="1008"/>
      <c r="BE165" s="1008"/>
      <c r="BF165" s="1008"/>
      <c r="BG165" s="1008"/>
      <c r="BH165" s="1008"/>
      <c r="BI165" s="1008"/>
      <c r="BJ165" s="1008"/>
      <c r="BK165" s="1008"/>
      <c r="BL165" s="1008"/>
      <c r="BM165" s="1008"/>
      <c r="BN165" s="1008"/>
      <c r="BO165" s="1008"/>
      <c r="BP165" s="1008">
        <f>+'[18]OCTUBRE 2015'!$AD$317</f>
        <v>68483213</v>
      </c>
      <c r="BQ165" s="1011">
        <f t="shared" si="105"/>
        <v>0.11299145308665726</v>
      </c>
      <c r="BR165" s="1008">
        <f t="shared" si="175"/>
        <v>8723724</v>
      </c>
      <c r="BS165" s="1008">
        <f t="shared" si="164"/>
        <v>0</v>
      </c>
      <c r="BT165" s="1008">
        <f t="shared" si="165"/>
        <v>0</v>
      </c>
      <c r="BU165" s="1008"/>
      <c r="BV165" s="1008">
        <f t="shared" si="162"/>
        <v>0</v>
      </c>
      <c r="BW165" s="1008">
        <f t="shared" si="162"/>
        <v>0</v>
      </c>
      <c r="BX165" s="1008">
        <f t="shared" si="166"/>
        <v>0</v>
      </c>
      <c r="BY165" s="1008">
        <f t="shared" si="166"/>
        <v>0</v>
      </c>
      <c r="BZ165" s="1008"/>
      <c r="CA165" s="1008">
        <f t="shared" si="167"/>
        <v>0</v>
      </c>
      <c r="CB165" s="1008">
        <f t="shared" si="167"/>
        <v>0</v>
      </c>
      <c r="CC165" s="1008">
        <f t="shared" si="167"/>
        <v>0</v>
      </c>
      <c r="CD165" s="1008">
        <f t="shared" si="167"/>
        <v>0</v>
      </c>
      <c r="CE165" s="1008">
        <f t="shared" si="167"/>
        <v>0</v>
      </c>
      <c r="CF165" s="1008">
        <f t="shared" si="167"/>
        <v>0</v>
      </c>
      <c r="CG165" s="1008">
        <f t="shared" si="167"/>
        <v>0</v>
      </c>
      <c r="CH165" s="1008">
        <f t="shared" si="167"/>
        <v>0</v>
      </c>
      <c r="CI165" s="1008">
        <f t="shared" si="167"/>
        <v>0</v>
      </c>
      <c r="CJ165" s="1008"/>
      <c r="CK165" s="1008">
        <f t="shared" si="168"/>
        <v>0</v>
      </c>
      <c r="CL165" s="1008">
        <f t="shared" si="168"/>
        <v>8723724</v>
      </c>
      <c r="CM165" s="1011">
        <f t="shared" si="113"/>
        <v>0.52784777616550183</v>
      </c>
      <c r="CN165" s="1008">
        <f t="shared" si="176"/>
        <v>40753510</v>
      </c>
      <c r="CO165" s="1008"/>
      <c r="CP165" s="1008"/>
      <c r="CQ165" s="1008"/>
      <c r="CR165" s="1008"/>
      <c r="CS165" s="1008"/>
      <c r="CT165" s="1008"/>
      <c r="CU165" s="1008"/>
      <c r="CV165" s="1008"/>
      <c r="CW165" s="1008"/>
      <c r="CX165" s="1008"/>
      <c r="CY165" s="1008"/>
      <c r="CZ165" s="1008"/>
      <c r="DA165" s="1008"/>
      <c r="DB165" s="1008"/>
      <c r="DC165" s="1008"/>
      <c r="DD165" s="1008"/>
      <c r="DE165" s="1008"/>
      <c r="DF165" s="1008"/>
      <c r="DG165" s="1008"/>
      <c r="DH165" s="1008">
        <f>+'[18]OCTUBRE 2015'!$H$315</f>
        <v>40753510</v>
      </c>
      <c r="DI165" s="1011">
        <f t="shared" si="115"/>
        <v>0.47215222383449817</v>
      </c>
      <c r="DJ165" s="1008">
        <f t="shared" si="177"/>
        <v>36453427</v>
      </c>
      <c r="DK165" s="1008"/>
      <c r="DL165" s="1008"/>
      <c r="DM165" s="1008"/>
      <c r="DN165" s="1008">
        <f t="shared" si="163"/>
        <v>0</v>
      </c>
      <c r="DO165" s="1008">
        <f t="shared" si="163"/>
        <v>0</v>
      </c>
      <c r="DP165" s="1008">
        <f t="shared" si="163"/>
        <v>0</v>
      </c>
      <c r="DQ165" s="1008">
        <f t="shared" si="163"/>
        <v>0</v>
      </c>
      <c r="DR165" s="1008"/>
      <c r="DS165" s="1008">
        <f t="shared" si="169"/>
        <v>0</v>
      </c>
      <c r="DT165" s="1008">
        <f t="shared" si="169"/>
        <v>0</v>
      </c>
      <c r="DU165" s="1008"/>
      <c r="DV165" s="1008">
        <f t="shared" si="170"/>
        <v>0</v>
      </c>
      <c r="DW165" s="1008">
        <f t="shared" si="170"/>
        <v>0</v>
      </c>
      <c r="DX165" s="1008">
        <f t="shared" si="170"/>
        <v>0</v>
      </c>
      <c r="DY165" s="1008">
        <f t="shared" si="171"/>
        <v>0</v>
      </c>
      <c r="DZ165" s="1008">
        <f t="shared" si="171"/>
        <v>0</v>
      </c>
      <c r="EA165" s="1008">
        <f t="shared" si="171"/>
        <v>0</v>
      </c>
      <c r="EB165" s="1008">
        <f t="shared" si="171"/>
        <v>0</v>
      </c>
      <c r="EC165" s="1008">
        <f t="shared" si="171"/>
        <v>0</v>
      </c>
      <c r="ED165" s="1008">
        <f t="shared" si="172"/>
        <v>36453427</v>
      </c>
    </row>
    <row r="166" spans="1:134" s="203" customFormat="1" ht="27.75" customHeight="1" x14ac:dyDescent="0.25">
      <c r="A166" s="1560"/>
      <c r="B166" s="989"/>
      <c r="C166" s="1081" t="s">
        <v>4527</v>
      </c>
      <c r="D166" s="1019" t="s">
        <v>4509</v>
      </c>
      <c r="E166" s="997">
        <v>211</v>
      </c>
      <c r="F166" s="1097" t="s">
        <v>4482</v>
      </c>
      <c r="G166" s="1400"/>
      <c r="H166" s="1061">
        <f t="shared" si="143"/>
        <v>0</v>
      </c>
      <c r="I166" s="1061">
        <f t="shared" si="144"/>
        <v>0</v>
      </c>
      <c r="J166" s="1577"/>
      <c r="K166" s="1580"/>
      <c r="L166" s="1284"/>
      <c r="M166" s="1077">
        <v>0</v>
      </c>
      <c r="N166" s="1077">
        <v>0</v>
      </c>
      <c r="O166" s="1077">
        <v>0</v>
      </c>
      <c r="P166" s="1075"/>
      <c r="Q166" s="1075"/>
      <c r="R166" s="1075"/>
      <c r="S166" s="1097"/>
      <c r="T166" s="1097"/>
      <c r="U166" s="1097"/>
      <c r="V166" s="1097"/>
      <c r="W166" s="1097"/>
      <c r="X166" s="1097"/>
      <c r="Y166" s="1067">
        <f t="shared" si="173"/>
        <v>0</v>
      </c>
      <c r="Z166" s="149"/>
      <c r="AA166" s="1067">
        <f>270014856-270014856</f>
        <v>0</v>
      </c>
      <c r="AB166" s="1067"/>
      <c r="AC166" s="1067">
        <f>65677916-65677916</f>
        <v>0</v>
      </c>
      <c r="AD166" s="1067"/>
      <c r="AE166" s="1067"/>
      <c r="AF166" s="1067">
        <f>335692772-270014856-65677916</f>
        <v>0</v>
      </c>
      <c r="AG166" s="149"/>
      <c r="AH166" s="149"/>
      <c r="AI166" s="149"/>
      <c r="AJ166" s="149"/>
      <c r="AK166" s="149"/>
      <c r="AL166" s="149"/>
      <c r="AM166" s="149"/>
      <c r="AN166" s="149"/>
      <c r="AO166" s="149"/>
      <c r="AP166" s="149"/>
      <c r="AQ166" s="149"/>
      <c r="AR166" s="149"/>
      <c r="AS166" s="149"/>
      <c r="AU166" s="1082" t="e">
        <f t="shared" si="103"/>
        <v>#DIV/0!</v>
      </c>
      <c r="AV166" s="1067">
        <f t="shared" si="174"/>
        <v>0</v>
      </c>
      <c r="AW166" s="1067"/>
      <c r="AX166" s="1067"/>
      <c r="AY166" s="1067"/>
      <c r="AZ166" s="1067"/>
      <c r="BA166" s="1067"/>
      <c r="BB166" s="1067"/>
      <c r="BC166" s="1067"/>
      <c r="BD166" s="1067"/>
      <c r="BE166" s="1067"/>
      <c r="BF166" s="1067"/>
      <c r="BG166" s="1067"/>
      <c r="BH166" s="1067"/>
      <c r="BI166" s="1067"/>
      <c r="BJ166" s="1067"/>
      <c r="BK166" s="1067"/>
      <c r="BL166" s="1067"/>
      <c r="BM166" s="1067"/>
      <c r="BN166" s="1067"/>
      <c r="BO166" s="1067"/>
      <c r="BP166" s="1067"/>
      <c r="BQ166" s="1082" t="e">
        <f t="shared" si="105"/>
        <v>#DIV/0!</v>
      </c>
      <c r="BR166" s="1067">
        <f t="shared" si="175"/>
        <v>0</v>
      </c>
      <c r="BS166" s="1067">
        <f t="shared" si="164"/>
        <v>0</v>
      </c>
      <c r="BT166" s="1067">
        <f t="shared" si="165"/>
        <v>0</v>
      </c>
      <c r="BU166" s="1067"/>
      <c r="BV166" s="1067">
        <f t="shared" si="162"/>
        <v>0</v>
      </c>
      <c r="BW166" s="1067">
        <f t="shared" si="162"/>
        <v>0</v>
      </c>
      <c r="BX166" s="1067">
        <f t="shared" si="166"/>
        <v>0</v>
      </c>
      <c r="BY166" s="1067">
        <f t="shared" si="166"/>
        <v>0</v>
      </c>
      <c r="BZ166" s="1067"/>
      <c r="CA166" s="1067">
        <f t="shared" si="167"/>
        <v>0</v>
      </c>
      <c r="CB166" s="1067">
        <f t="shared" si="167"/>
        <v>0</v>
      </c>
      <c r="CC166" s="1067">
        <f t="shared" si="167"/>
        <v>0</v>
      </c>
      <c r="CD166" s="1067">
        <f t="shared" si="167"/>
        <v>0</v>
      </c>
      <c r="CE166" s="1067">
        <f t="shared" si="167"/>
        <v>0</v>
      </c>
      <c r="CF166" s="1067">
        <f t="shared" si="167"/>
        <v>0</v>
      </c>
      <c r="CG166" s="1067">
        <f t="shared" si="167"/>
        <v>0</v>
      </c>
      <c r="CH166" s="1067">
        <f t="shared" si="167"/>
        <v>0</v>
      </c>
      <c r="CI166" s="1067">
        <f t="shared" si="167"/>
        <v>0</v>
      </c>
      <c r="CJ166" s="1067"/>
      <c r="CK166" s="1067">
        <f t="shared" si="168"/>
        <v>0</v>
      </c>
      <c r="CL166" s="1067">
        <f t="shared" si="168"/>
        <v>0</v>
      </c>
      <c r="CM166" s="1082" t="e">
        <f t="shared" si="113"/>
        <v>#DIV/0!</v>
      </c>
      <c r="CN166" s="1067">
        <f t="shared" si="176"/>
        <v>0</v>
      </c>
      <c r="CO166" s="1067"/>
      <c r="CP166" s="1067"/>
      <c r="CQ166" s="1067"/>
      <c r="CR166" s="1067"/>
      <c r="CS166" s="1067"/>
      <c r="CT166" s="1067"/>
      <c r="CU166" s="1067"/>
      <c r="CV166" s="1067"/>
      <c r="CW166" s="1067"/>
      <c r="CX166" s="1067"/>
      <c r="CY166" s="1067"/>
      <c r="CZ166" s="1067"/>
      <c r="DA166" s="1067"/>
      <c r="DB166" s="1067"/>
      <c r="DC166" s="1067"/>
      <c r="DD166" s="1067"/>
      <c r="DE166" s="1067"/>
      <c r="DF166" s="1067"/>
      <c r="DG166" s="1067"/>
      <c r="DH166" s="1067"/>
      <c r="DI166" s="1082" t="e">
        <f t="shared" si="115"/>
        <v>#DIV/0!</v>
      </c>
      <c r="DJ166" s="1067">
        <f t="shared" si="177"/>
        <v>0</v>
      </c>
      <c r="DK166" s="1067"/>
      <c r="DL166" s="1067">
        <f>AA166-CP166</f>
        <v>0</v>
      </c>
      <c r="DM166" s="1067">
        <f>AB166-CQ166</f>
        <v>0</v>
      </c>
      <c r="DN166" s="1067">
        <f t="shared" si="163"/>
        <v>0</v>
      </c>
      <c r="DO166" s="1067">
        <f t="shared" si="163"/>
        <v>0</v>
      </c>
      <c r="DP166" s="1067">
        <f t="shared" si="163"/>
        <v>0</v>
      </c>
      <c r="DQ166" s="1067">
        <f t="shared" si="163"/>
        <v>0</v>
      </c>
      <c r="DR166" s="1067"/>
      <c r="DS166" s="1067">
        <f t="shared" si="169"/>
        <v>0</v>
      </c>
      <c r="DT166" s="1067">
        <f t="shared" si="169"/>
        <v>0</v>
      </c>
      <c r="DU166" s="1067"/>
      <c r="DV166" s="1067">
        <f t="shared" si="170"/>
        <v>0</v>
      </c>
      <c r="DW166" s="1067">
        <f t="shared" si="170"/>
        <v>0</v>
      </c>
      <c r="DX166" s="1067">
        <f t="shared" si="170"/>
        <v>0</v>
      </c>
      <c r="DY166" s="1067">
        <f t="shared" si="171"/>
        <v>0</v>
      </c>
      <c r="DZ166" s="1067">
        <f t="shared" si="171"/>
        <v>0</v>
      </c>
      <c r="EA166" s="1067">
        <f t="shared" si="171"/>
        <v>0</v>
      </c>
      <c r="EB166" s="1067">
        <f t="shared" si="171"/>
        <v>0</v>
      </c>
      <c r="EC166" s="1067">
        <f t="shared" si="171"/>
        <v>0</v>
      </c>
      <c r="ED166" s="1067">
        <f t="shared" si="172"/>
        <v>0</v>
      </c>
    </row>
    <row r="167" spans="1:134" ht="35.25" customHeight="1" x14ac:dyDescent="0.25">
      <c r="A167" s="1560"/>
      <c r="B167" s="989"/>
      <c r="C167" s="852" t="s">
        <v>4528</v>
      </c>
      <c r="D167" s="1019" t="s">
        <v>4723</v>
      </c>
      <c r="E167" s="995">
        <v>211</v>
      </c>
      <c r="F167" s="1097" t="s">
        <v>4482</v>
      </c>
      <c r="G167" s="1400"/>
      <c r="H167" s="1061">
        <f t="shared" si="143"/>
        <v>167851094</v>
      </c>
      <c r="I167" s="1061">
        <f t="shared" si="144"/>
        <v>32148906</v>
      </c>
      <c r="J167" s="1575">
        <v>120</v>
      </c>
      <c r="K167" s="1578">
        <v>600</v>
      </c>
      <c r="L167" s="1283">
        <v>168</v>
      </c>
      <c r="M167" s="1096">
        <v>0</v>
      </c>
      <c r="N167" s="1096">
        <v>0</v>
      </c>
      <c r="O167" s="1096">
        <v>0</v>
      </c>
      <c r="P167" s="1093">
        <v>51</v>
      </c>
      <c r="Q167" s="1093">
        <v>35</v>
      </c>
      <c r="R167" s="1093">
        <v>18</v>
      </c>
      <c r="S167" s="1097"/>
      <c r="T167" s="1097"/>
      <c r="U167" s="1097"/>
      <c r="V167" s="1097"/>
      <c r="W167" s="1097"/>
      <c r="X167" s="1097"/>
      <c r="Y167" s="1008">
        <f t="shared" si="173"/>
        <v>200000000</v>
      </c>
      <c r="Z167" s="944"/>
      <c r="AA167" s="1008"/>
      <c r="AB167" s="1008"/>
      <c r="AC167" s="1008">
        <f>300000000-100000000</f>
        <v>200000000</v>
      </c>
      <c r="AD167" s="1008"/>
      <c r="AE167" s="1008"/>
      <c r="AF167" s="1008">
        <f>300000000-300000000</f>
        <v>0</v>
      </c>
      <c r="AG167" s="1008"/>
      <c r="AH167" s="1008"/>
      <c r="AI167" s="1008"/>
      <c r="AJ167" s="1008"/>
      <c r="AK167" s="1008"/>
      <c r="AL167" s="1008"/>
      <c r="AM167" s="1008"/>
      <c r="AN167" s="1008"/>
      <c r="AO167" s="1008"/>
      <c r="AP167" s="1008"/>
      <c r="AQ167" s="1008"/>
      <c r="AR167" s="1008"/>
      <c r="AS167" s="1008"/>
      <c r="AT167" s="1008"/>
      <c r="AU167" s="1011">
        <f t="shared" si="103"/>
        <v>0.91125051999999995</v>
      </c>
      <c r="AV167" s="1008">
        <f t="shared" si="174"/>
        <v>182250104</v>
      </c>
      <c r="AW167" s="1008"/>
      <c r="AX167" s="1008"/>
      <c r="AY167" s="1008"/>
      <c r="AZ167" s="1008">
        <f>+'[17]SEPTIEMBRE 2015'!$M$327</f>
        <v>182250104</v>
      </c>
      <c r="BA167" s="1008"/>
      <c r="BB167" s="1008"/>
      <c r="BC167" s="1008"/>
      <c r="BD167" s="1008"/>
      <c r="BE167" s="1008"/>
      <c r="BF167" s="1008"/>
      <c r="BG167" s="1008"/>
      <c r="BH167" s="1008"/>
      <c r="BI167" s="1008"/>
      <c r="BJ167" s="1008"/>
      <c r="BK167" s="1008"/>
      <c r="BL167" s="1008"/>
      <c r="BM167" s="1008"/>
      <c r="BN167" s="1008"/>
      <c r="BO167" s="1008"/>
      <c r="BP167" s="1008"/>
      <c r="BQ167" s="1011">
        <f t="shared" si="105"/>
        <v>8.8749480000000047E-2</v>
      </c>
      <c r="BR167" s="1008">
        <f t="shared" si="175"/>
        <v>17749896</v>
      </c>
      <c r="BS167" s="1008">
        <f t="shared" si="164"/>
        <v>0</v>
      </c>
      <c r="BT167" s="1008">
        <f t="shared" si="165"/>
        <v>0</v>
      </c>
      <c r="BU167" s="1008"/>
      <c r="BV167" s="1008">
        <f t="shared" si="162"/>
        <v>17749896</v>
      </c>
      <c r="BW167" s="1008">
        <f t="shared" si="162"/>
        <v>0</v>
      </c>
      <c r="BX167" s="1008">
        <f t="shared" si="166"/>
        <v>0</v>
      </c>
      <c r="BY167" s="1008">
        <f t="shared" si="166"/>
        <v>0</v>
      </c>
      <c r="BZ167" s="1008"/>
      <c r="CA167" s="1008">
        <f t="shared" si="167"/>
        <v>0</v>
      </c>
      <c r="CB167" s="1008">
        <f t="shared" si="167"/>
        <v>0</v>
      </c>
      <c r="CC167" s="1008">
        <f t="shared" si="167"/>
        <v>0</v>
      </c>
      <c r="CD167" s="1008">
        <f t="shared" si="167"/>
        <v>0</v>
      </c>
      <c r="CE167" s="1008">
        <f t="shared" si="167"/>
        <v>0</v>
      </c>
      <c r="CF167" s="1008">
        <f t="shared" si="167"/>
        <v>0</v>
      </c>
      <c r="CG167" s="1008">
        <f t="shared" si="167"/>
        <v>0</v>
      </c>
      <c r="CH167" s="1008">
        <f t="shared" si="167"/>
        <v>0</v>
      </c>
      <c r="CI167" s="1008">
        <f t="shared" si="167"/>
        <v>0</v>
      </c>
      <c r="CJ167" s="1008"/>
      <c r="CK167" s="1008">
        <f t="shared" si="168"/>
        <v>0</v>
      </c>
      <c r="CL167" s="1008">
        <f t="shared" si="168"/>
        <v>0</v>
      </c>
      <c r="CM167" s="1011">
        <f t="shared" si="113"/>
        <v>0.83925547</v>
      </c>
      <c r="CN167" s="1008">
        <f t="shared" si="176"/>
        <v>167851094</v>
      </c>
      <c r="CO167" s="1008"/>
      <c r="CP167" s="1008"/>
      <c r="CQ167" s="1008"/>
      <c r="CR167" s="1008">
        <f>+'[16]AGOSTO 2015'!$H$305</f>
        <v>167851094</v>
      </c>
      <c r="CS167" s="1008"/>
      <c r="CT167" s="1008"/>
      <c r="CU167" s="1008"/>
      <c r="CV167" s="1008"/>
      <c r="CW167" s="1008"/>
      <c r="CX167" s="1008"/>
      <c r="CY167" s="1008"/>
      <c r="CZ167" s="1008"/>
      <c r="DA167" s="1008"/>
      <c r="DB167" s="1008"/>
      <c r="DC167" s="1008"/>
      <c r="DD167" s="1008"/>
      <c r="DE167" s="1008"/>
      <c r="DF167" s="1008"/>
      <c r="DG167" s="1008"/>
      <c r="DH167" s="1008"/>
      <c r="DI167" s="1011">
        <f t="shared" si="115"/>
        <v>0.16074453</v>
      </c>
      <c r="DJ167" s="1008">
        <f t="shared" si="177"/>
        <v>32148906</v>
      </c>
      <c r="DK167" s="1008"/>
      <c r="DL167" s="1008"/>
      <c r="DM167" s="1008"/>
      <c r="DN167" s="1008">
        <f t="shared" si="163"/>
        <v>32148906</v>
      </c>
      <c r="DO167" s="1008">
        <f t="shared" si="163"/>
        <v>0</v>
      </c>
      <c r="DP167" s="1008">
        <f t="shared" si="163"/>
        <v>0</v>
      </c>
      <c r="DQ167" s="1008">
        <f t="shared" si="163"/>
        <v>0</v>
      </c>
      <c r="DR167" s="1008"/>
      <c r="DS167" s="1008">
        <f t="shared" si="169"/>
        <v>0</v>
      </c>
      <c r="DT167" s="1008">
        <f t="shared" si="169"/>
        <v>0</v>
      </c>
      <c r="DU167" s="1008"/>
      <c r="DV167" s="1008">
        <f t="shared" si="170"/>
        <v>0</v>
      </c>
      <c r="DW167" s="1008">
        <f t="shared" si="170"/>
        <v>0</v>
      </c>
      <c r="DX167" s="1008">
        <f t="shared" si="170"/>
        <v>0</v>
      </c>
      <c r="DY167" s="1008">
        <f t="shared" si="171"/>
        <v>0</v>
      </c>
      <c r="DZ167" s="1008">
        <f t="shared" si="171"/>
        <v>0</v>
      </c>
      <c r="EA167" s="1008">
        <f t="shared" si="171"/>
        <v>0</v>
      </c>
      <c r="EB167" s="1008">
        <f t="shared" si="171"/>
        <v>0</v>
      </c>
      <c r="EC167" s="1008">
        <f t="shared" si="171"/>
        <v>0</v>
      </c>
      <c r="ED167" s="1008">
        <f t="shared" si="172"/>
        <v>0</v>
      </c>
    </row>
    <row r="168" spans="1:134" ht="55.5" customHeight="1" x14ac:dyDescent="0.25">
      <c r="A168" s="1560"/>
      <c r="B168" s="989"/>
      <c r="C168" s="852" t="s">
        <v>4529</v>
      </c>
      <c r="D168" s="1019" t="s">
        <v>4642</v>
      </c>
      <c r="E168" s="995">
        <v>211</v>
      </c>
      <c r="F168" s="1097" t="s">
        <v>4743</v>
      </c>
      <c r="G168" s="1400"/>
      <c r="H168" s="1061">
        <f t="shared" si="143"/>
        <v>220009333</v>
      </c>
      <c r="I168" s="1061">
        <f t="shared" si="144"/>
        <v>343189377</v>
      </c>
      <c r="J168" s="1576"/>
      <c r="K168" s="1579"/>
      <c r="L168" s="1573"/>
      <c r="M168" s="1093">
        <v>1</v>
      </c>
      <c r="N168" s="1093">
        <v>0</v>
      </c>
      <c r="O168" s="1093">
        <v>0</v>
      </c>
      <c r="P168" s="1093">
        <v>0</v>
      </c>
      <c r="Q168" s="1093">
        <v>0</v>
      </c>
      <c r="R168" s="1093">
        <v>0</v>
      </c>
      <c r="S168" s="1097"/>
      <c r="T168" s="1097"/>
      <c r="U168" s="1097"/>
      <c r="V168" s="1097"/>
      <c r="W168" s="1097"/>
      <c r="X168" s="1097"/>
      <c r="Y168" s="1008">
        <f t="shared" si="173"/>
        <v>563198710</v>
      </c>
      <c r="Z168" s="944"/>
      <c r="AA168" s="1008"/>
      <c r="AB168" s="1008"/>
      <c r="AC168" s="1008">
        <f>200000000+194000000-116541544+210000000</f>
        <v>487458456</v>
      </c>
      <c r="AD168" s="1008"/>
      <c r="AE168" s="1008"/>
      <c r="AF168" s="1008">
        <f>194000000-194000000</f>
        <v>0</v>
      </c>
      <c r="AG168" s="1008"/>
      <c r="AH168" s="1008"/>
      <c r="AI168" s="1008"/>
      <c r="AJ168" s="1008"/>
      <c r="AK168" s="1008"/>
      <c r="AL168" s="1008"/>
      <c r="AM168" s="1008"/>
      <c r="AN168" s="1008"/>
      <c r="AO168" s="1008"/>
      <c r="AP168" s="1008"/>
      <c r="AQ168" s="1008"/>
      <c r="AR168" s="1008"/>
      <c r="AS168" s="1008">
        <f>45131378+17223876+13385000</f>
        <v>75740254</v>
      </c>
      <c r="AT168" s="1008"/>
      <c r="AU168" s="1011">
        <f t="shared" si="103"/>
        <v>0.96941776375872735</v>
      </c>
      <c r="AV168" s="1008">
        <f t="shared" si="174"/>
        <v>545974834</v>
      </c>
      <c r="AW168" s="1008"/>
      <c r="AX168" s="1008"/>
      <c r="AY168" s="1008"/>
      <c r="AZ168" s="1008">
        <f>+'[17]SEPTIEMBRE 2015'!$M$341</f>
        <v>487458456</v>
      </c>
      <c r="BA168" s="1008"/>
      <c r="BB168" s="1008"/>
      <c r="BC168" s="1008"/>
      <c r="BD168" s="1008"/>
      <c r="BE168" s="1008"/>
      <c r="BF168" s="1008"/>
      <c r="BG168" s="1008"/>
      <c r="BH168" s="1008"/>
      <c r="BI168" s="1008"/>
      <c r="BJ168" s="1008"/>
      <c r="BK168" s="1008"/>
      <c r="BL168" s="1008"/>
      <c r="BM168" s="1008"/>
      <c r="BN168" s="1008"/>
      <c r="BO168" s="1008"/>
      <c r="BP168" s="1008">
        <f>+'[17]SEPTIEMBRE 2015'!$AD$341</f>
        <v>58516378</v>
      </c>
      <c r="BQ168" s="1011">
        <f t="shared" si="105"/>
        <v>3.0582236241272653E-2</v>
      </c>
      <c r="BR168" s="1008">
        <f t="shared" si="175"/>
        <v>17223876</v>
      </c>
      <c r="BS168" s="1008">
        <f t="shared" si="164"/>
        <v>0</v>
      </c>
      <c r="BT168" s="1008">
        <f t="shared" si="165"/>
        <v>0</v>
      </c>
      <c r="BU168" s="1008"/>
      <c r="BV168" s="1008">
        <f t="shared" si="162"/>
        <v>0</v>
      </c>
      <c r="BW168" s="1008">
        <f t="shared" si="162"/>
        <v>0</v>
      </c>
      <c r="BX168" s="1008">
        <f t="shared" si="166"/>
        <v>0</v>
      </c>
      <c r="BY168" s="1008">
        <f t="shared" si="166"/>
        <v>0</v>
      </c>
      <c r="BZ168" s="1008"/>
      <c r="CA168" s="1008">
        <f t="shared" si="167"/>
        <v>0</v>
      </c>
      <c r="CB168" s="1008">
        <f t="shared" si="167"/>
        <v>0</v>
      </c>
      <c r="CC168" s="1008">
        <f t="shared" si="167"/>
        <v>0</v>
      </c>
      <c r="CD168" s="1008">
        <f t="shared" si="167"/>
        <v>0</v>
      </c>
      <c r="CE168" s="1008">
        <f t="shared" si="167"/>
        <v>0</v>
      </c>
      <c r="CF168" s="1008">
        <f t="shared" si="167"/>
        <v>0</v>
      </c>
      <c r="CG168" s="1008">
        <f t="shared" si="167"/>
        <v>0</v>
      </c>
      <c r="CH168" s="1008">
        <f t="shared" si="167"/>
        <v>0</v>
      </c>
      <c r="CI168" s="1008">
        <f t="shared" si="167"/>
        <v>0</v>
      </c>
      <c r="CJ168" s="1008"/>
      <c r="CK168" s="1008">
        <f t="shared" si="168"/>
        <v>0</v>
      </c>
      <c r="CL168" s="1008">
        <f t="shared" si="168"/>
        <v>17223876</v>
      </c>
      <c r="CM168" s="1011">
        <f t="shared" si="113"/>
        <v>0.39064246613775094</v>
      </c>
      <c r="CN168" s="1008">
        <f t="shared" si="176"/>
        <v>220009333</v>
      </c>
      <c r="CO168" s="1008"/>
      <c r="CP168" s="1008"/>
      <c r="CQ168" s="1008"/>
      <c r="CR168" s="1008">
        <f>+'[18]OCTUBRE 2015'!$H$359+'[18]OCTUBRE 2015'!$H$367+'[18]OCTUBRE 2015'!$H$369+'[18]OCTUBRE 2015'!$H$375+'[18]OCTUBRE 2015'!$H$376</f>
        <v>192406653</v>
      </c>
      <c r="CS168" s="1008"/>
      <c r="CT168" s="1008"/>
      <c r="CU168" s="1008"/>
      <c r="CV168" s="1008"/>
      <c r="CW168" s="1008"/>
      <c r="CX168" s="1008"/>
      <c r="CY168" s="1008"/>
      <c r="CZ168" s="1008"/>
      <c r="DA168" s="1008"/>
      <c r="DB168" s="1008"/>
      <c r="DC168" s="1008"/>
      <c r="DD168" s="1008"/>
      <c r="DE168" s="1008"/>
      <c r="DF168" s="1008"/>
      <c r="DG168" s="1008"/>
      <c r="DH168" s="1008">
        <f>+'[18]OCTUBRE 2015'!$H$361+'[18]OCTUBRE 2015'!$H$363+'[18]OCTUBRE 2015'!$H$372</f>
        <v>27602680</v>
      </c>
      <c r="DI168" s="1011">
        <f t="shared" si="115"/>
        <v>0.609357533862249</v>
      </c>
      <c r="DJ168" s="1008">
        <f t="shared" si="177"/>
        <v>343189377</v>
      </c>
      <c r="DK168" s="1008"/>
      <c r="DL168" s="1008"/>
      <c r="DM168" s="1008"/>
      <c r="DN168" s="1008">
        <f t="shared" si="163"/>
        <v>295051803</v>
      </c>
      <c r="DO168" s="1008">
        <f t="shared" si="163"/>
        <v>0</v>
      </c>
      <c r="DP168" s="1008">
        <f t="shared" si="163"/>
        <v>0</v>
      </c>
      <c r="DQ168" s="1008">
        <f t="shared" si="163"/>
        <v>0</v>
      </c>
      <c r="DR168" s="1008"/>
      <c r="DS168" s="1008">
        <f t="shared" si="169"/>
        <v>0</v>
      </c>
      <c r="DT168" s="1008">
        <f t="shared" si="169"/>
        <v>0</v>
      </c>
      <c r="DU168" s="1008"/>
      <c r="DV168" s="1008">
        <f t="shared" si="170"/>
        <v>0</v>
      </c>
      <c r="DW168" s="1008">
        <f t="shared" si="170"/>
        <v>0</v>
      </c>
      <c r="DX168" s="1008">
        <f t="shared" si="170"/>
        <v>0</v>
      </c>
      <c r="DY168" s="1008">
        <f t="shared" si="171"/>
        <v>0</v>
      </c>
      <c r="DZ168" s="1008">
        <f t="shared" si="171"/>
        <v>0</v>
      </c>
      <c r="EA168" s="1008">
        <f t="shared" si="171"/>
        <v>0</v>
      </c>
      <c r="EB168" s="1008">
        <f t="shared" si="171"/>
        <v>0</v>
      </c>
      <c r="EC168" s="1008">
        <f t="shared" si="171"/>
        <v>0</v>
      </c>
      <c r="ED168" s="1008">
        <f t="shared" si="172"/>
        <v>48137574</v>
      </c>
    </row>
    <row r="169" spans="1:134" ht="36" customHeight="1" x14ac:dyDescent="0.25">
      <c r="A169" s="1560"/>
      <c r="B169" s="989"/>
      <c r="C169" s="852" t="s">
        <v>4530</v>
      </c>
      <c r="D169" s="1053" t="s">
        <v>4510</v>
      </c>
      <c r="E169" s="995">
        <v>211</v>
      </c>
      <c r="F169" s="1097" t="s">
        <v>4670</v>
      </c>
      <c r="G169" s="1400"/>
      <c r="H169" s="1061">
        <f t="shared" si="143"/>
        <v>3525240</v>
      </c>
      <c r="I169" s="1061">
        <f t="shared" si="144"/>
        <v>0</v>
      </c>
      <c r="J169" s="1577"/>
      <c r="K169" s="1580"/>
      <c r="L169" s="1284"/>
      <c r="M169" s="1093">
        <v>59</v>
      </c>
      <c r="N169" s="1093">
        <v>0</v>
      </c>
      <c r="O169" s="1093">
        <v>0</v>
      </c>
      <c r="P169" s="1093">
        <v>44</v>
      </c>
      <c r="Q169" s="1093">
        <v>60</v>
      </c>
      <c r="R169" s="1093">
        <v>26</v>
      </c>
      <c r="S169" s="1097"/>
      <c r="T169" s="1097"/>
      <c r="U169" s="1097"/>
      <c r="V169" s="1097"/>
      <c r="W169" s="1097"/>
      <c r="X169" s="1097"/>
      <c r="Y169" s="1008">
        <f t="shared" si="173"/>
        <v>3525240</v>
      </c>
      <c r="Z169" s="944"/>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f>6000000+2000000-4474760</f>
        <v>3525240</v>
      </c>
      <c r="AT169" s="1008"/>
      <c r="AU169" s="1011">
        <f t="shared" si="103"/>
        <v>1</v>
      </c>
      <c r="AV169" s="1008">
        <f t="shared" si="174"/>
        <v>3525240</v>
      </c>
      <c r="AW169" s="1008"/>
      <c r="AX169" s="1008"/>
      <c r="AY169" s="1008"/>
      <c r="AZ169" s="1008"/>
      <c r="BA169" s="1008"/>
      <c r="BB169" s="1008"/>
      <c r="BC169" s="1008"/>
      <c r="BD169" s="1008"/>
      <c r="BE169" s="1008"/>
      <c r="BF169" s="1008"/>
      <c r="BG169" s="1008"/>
      <c r="BH169" s="1008"/>
      <c r="BI169" s="1008"/>
      <c r="BJ169" s="1008"/>
      <c r="BK169" s="1008"/>
      <c r="BL169" s="1008"/>
      <c r="BM169" s="1008"/>
      <c r="BN169" s="1008"/>
      <c r="BO169" s="1008"/>
      <c r="BP169" s="1008">
        <f>+'[16]AGOSTO 2015'!$AD$339</f>
        <v>3525240</v>
      </c>
      <c r="BQ169" s="1011">
        <f t="shared" si="105"/>
        <v>0</v>
      </c>
      <c r="BR169" s="1008">
        <f t="shared" si="175"/>
        <v>0</v>
      </c>
      <c r="BS169" s="1008">
        <f t="shared" si="164"/>
        <v>0</v>
      </c>
      <c r="BT169" s="1008">
        <f t="shared" si="165"/>
        <v>0</v>
      </c>
      <c r="BU169" s="1008"/>
      <c r="BV169" s="1008">
        <f t="shared" si="162"/>
        <v>0</v>
      </c>
      <c r="BW169" s="1008">
        <f t="shared" si="162"/>
        <v>0</v>
      </c>
      <c r="BX169" s="1008">
        <f t="shared" si="166"/>
        <v>0</v>
      </c>
      <c r="BY169" s="1008">
        <f t="shared" si="166"/>
        <v>0</v>
      </c>
      <c r="BZ169" s="1008"/>
      <c r="CA169" s="1008">
        <f t="shared" si="167"/>
        <v>0</v>
      </c>
      <c r="CB169" s="1008">
        <f t="shared" si="167"/>
        <v>0</v>
      </c>
      <c r="CC169" s="1008">
        <f t="shared" si="167"/>
        <v>0</v>
      </c>
      <c r="CD169" s="1008">
        <f t="shared" si="167"/>
        <v>0</v>
      </c>
      <c r="CE169" s="1008">
        <f t="shared" si="167"/>
        <v>0</v>
      </c>
      <c r="CF169" s="1008">
        <f t="shared" si="167"/>
        <v>0</v>
      </c>
      <c r="CG169" s="1008">
        <f t="shared" si="167"/>
        <v>0</v>
      </c>
      <c r="CH169" s="1008">
        <f t="shared" si="167"/>
        <v>0</v>
      </c>
      <c r="CI169" s="1008">
        <f t="shared" si="167"/>
        <v>0</v>
      </c>
      <c r="CJ169" s="1008"/>
      <c r="CK169" s="1008">
        <f t="shared" si="168"/>
        <v>0</v>
      </c>
      <c r="CL169" s="1008">
        <f t="shared" si="168"/>
        <v>0</v>
      </c>
      <c r="CM169" s="1011">
        <f t="shared" si="113"/>
        <v>1</v>
      </c>
      <c r="CN169" s="1008">
        <f t="shared" si="176"/>
        <v>3525240</v>
      </c>
      <c r="CO169" s="1008"/>
      <c r="CP169" s="1008"/>
      <c r="CQ169" s="1008"/>
      <c r="CR169" s="1008"/>
      <c r="CS169" s="1008"/>
      <c r="CT169" s="1008"/>
      <c r="CU169" s="1008"/>
      <c r="CV169" s="1008"/>
      <c r="CW169" s="1008"/>
      <c r="CX169" s="1008"/>
      <c r="CY169" s="1008"/>
      <c r="CZ169" s="1008"/>
      <c r="DA169" s="1008"/>
      <c r="DB169" s="1008"/>
      <c r="DC169" s="1008"/>
      <c r="DD169" s="1008"/>
      <c r="DE169" s="1008"/>
      <c r="DF169" s="1008"/>
      <c r="DG169" s="1008"/>
      <c r="DH169" s="1008">
        <f>+'[8]FEBRERO 2015'!$H$228</f>
        <v>3525240</v>
      </c>
      <c r="DI169" s="1011">
        <f t="shared" si="115"/>
        <v>0</v>
      </c>
      <c r="DJ169" s="1008">
        <f t="shared" si="177"/>
        <v>0</v>
      </c>
      <c r="DK169" s="1008"/>
      <c r="DL169" s="1008"/>
      <c r="DM169" s="1008"/>
      <c r="DN169" s="1008">
        <f t="shared" si="163"/>
        <v>0</v>
      </c>
      <c r="DO169" s="1008">
        <f t="shared" si="163"/>
        <v>0</v>
      </c>
      <c r="DP169" s="1008">
        <f t="shared" si="163"/>
        <v>0</v>
      </c>
      <c r="DQ169" s="1008">
        <f t="shared" si="163"/>
        <v>0</v>
      </c>
      <c r="DR169" s="1008"/>
      <c r="DS169" s="1008">
        <f t="shared" si="169"/>
        <v>0</v>
      </c>
      <c r="DT169" s="1008">
        <f t="shared" si="169"/>
        <v>0</v>
      </c>
      <c r="DU169" s="1008"/>
      <c r="DV169" s="1008">
        <f t="shared" si="170"/>
        <v>0</v>
      </c>
      <c r="DW169" s="1008">
        <f t="shared" si="170"/>
        <v>0</v>
      </c>
      <c r="DX169" s="1008">
        <f t="shared" si="170"/>
        <v>0</v>
      </c>
      <c r="DY169" s="1008">
        <f t="shared" si="171"/>
        <v>0</v>
      </c>
      <c r="DZ169" s="1008">
        <f t="shared" si="171"/>
        <v>0</v>
      </c>
      <c r="EA169" s="1008">
        <f t="shared" si="171"/>
        <v>0</v>
      </c>
      <c r="EB169" s="1008">
        <f t="shared" si="171"/>
        <v>0</v>
      </c>
      <c r="EC169" s="1008">
        <f t="shared" si="171"/>
        <v>0</v>
      </c>
      <c r="ED169" s="1008">
        <f t="shared" si="172"/>
        <v>0</v>
      </c>
    </row>
    <row r="170" spans="1:134" ht="29.25" customHeight="1" x14ac:dyDescent="0.25">
      <c r="A170" s="1560"/>
      <c r="B170" s="989"/>
      <c r="C170" s="852" t="s">
        <v>4531</v>
      </c>
      <c r="D170" s="1019" t="s">
        <v>4511</v>
      </c>
      <c r="E170" s="995">
        <v>211</v>
      </c>
      <c r="F170" s="1097" t="s">
        <v>4482</v>
      </c>
      <c r="G170" s="1400"/>
      <c r="H170" s="1061">
        <f t="shared" si="143"/>
        <v>293993067</v>
      </c>
      <c r="I170" s="1061">
        <f t="shared" si="144"/>
        <v>21537385</v>
      </c>
      <c r="J170" s="1399">
        <v>60</v>
      </c>
      <c r="K170" s="1283">
        <v>117</v>
      </c>
      <c r="L170" s="1283">
        <v>117</v>
      </c>
      <c r="M170" s="1093">
        <v>56</v>
      </c>
      <c r="N170" s="1093">
        <v>0</v>
      </c>
      <c r="O170" s="1093">
        <v>0</v>
      </c>
      <c r="P170" s="1093">
        <v>49</v>
      </c>
      <c r="Q170" s="1093">
        <v>51</v>
      </c>
      <c r="R170" s="1093">
        <v>25</v>
      </c>
      <c r="S170" s="1097"/>
      <c r="T170" s="1097"/>
      <c r="U170" s="1097"/>
      <c r="V170" s="1097"/>
      <c r="W170" s="1097"/>
      <c r="X170" s="1097"/>
      <c r="Y170" s="1008">
        <f t="shared" si="173"/>
        <v>315530452</v>
      </c>
      <c r="Z170" s="944"/>
      <c r="AA170" s="944"/>
      <c r="AB170" s="944"/>
      <c r="AC170" s="1008">
        <v>80000000</v>
      </c>
      <c r="AD170" s="944"/>
      <c r="AE170" s="1008">
        <v>210000000</v>
      </c>
      <c r="AF170" s="1008"/>
      <c r="AG170" s="1008"/>
      <c r="AH170" s="1008"/>
      <c r="AI170" s="1008"/>
      <c r="AJ170" s="1008"/>
      <c r="AK170" s="1008"/>
      <c r="AL170" s="1008"/>
      <c r="AM170" s="1008"/>
      <c r="AN170" s="1008"/>
      <c r="AO170" s="1008">
        <v>25530452</v>
      </c>
      <c r="AP170" s="1008"/>
      <c r="AQ170" s="1008"/>
      <c r="AR170" s="1008"/>
      <c r="AS170" s="1008"/>
      <c r="AT170" s="1008"/>
      <c r="AU170" s="1011">
        <f t="shared" si="103"/>
        <v>0.98781593670077839</v>
      </c>
      <c r="AV170" s="1008">
        <f t="shared" si="174"/>
        <v>311686009</v>
      </c>
      <c r="AW170" s="1008"/>
      <c r="AX170" s="1008"/>
      <c r="AY170" s="1008"/>
      <c r="AZ170" s="1008">
        <f>+'[18]OCTUBRE 2015'!$M$391</f>
        <v>77280360</v>
      </c>
      <c r="BA170" s="1008"/>
      <c r="BB170" s="1008">
        <f>+'[18]OCTUBRE 2015'!$O$391</f>
        <v>208875197</v>
      </c>
      <c r="BC170" s="1008"/>
      <c r="BD170" s="1008"/>
      <c r="BE170" s="1008"/>
      <c r="BF170" s="1008"/>
      <c r="BG170" s="1008"/>
      <c r="BH170" s="1008"/>
      <c r="BI170" s="1008"/>
      <c r="BJ170" s="1008"/>
      <c r="BK170" s="1008"/>
      <c r="BL170" s="1008">
        <f>+'[14]JUNIO 2015'!$Y$297</f>
        <v>25530452</v>
      </c>
      <c r="BM170" s="1008"/>
      <c r="BN170" s="1008"/>
      <c r="BO170" s="1008"/>
      <c r="BP170" s="1008"/>
      <c r="BQ170" s="1011">
        <f t="shared" si="105"/>
        <v>1.2184063299221615E-2</v>
      </c>
      <c r="BR170" s="1008">
        <f t="shared" si="175"/>
        <v>3844443</v>
      </c>
      <c r="BS170" s="1008">
        <f t="shared" si="164"/>
        <v>0</v>
      </c>
      <c r="BT170" s="1008">
        <f t="shared" si="165"/>
        <v>0</v>
      </c>
      <c r="BU170" s="1008"/>
      <c r="BV170" s="1008">
        <f t="shared" si="162"/>
        <v>2719640</v>
      </c>
      <c r="BW170" s="1008">
        <f t="shared" si="162"/>
        <v>0</v>
      </c>
      <c r="BX170" s="1008">
        <f t="shared" si="166"/>
        <v>1124803</v>
      </c>
      <c r="BY170" s="1008">
        <f t="shared" si="166"/>
        <v>0</v>
      </c>
      <c r="BZ170" s="1008"/>
      <c r="CA170" s="1008">
        <f t="shared" si="167"/>
        <v>0</v>
      </c>
      <c r="CB170" s="1008">
        <f t="shared" si="167"/>
        <v>0</v>
      </c>
      <c r="CC170" s="1008">
        <f t="shared" si="167"/>
        <v>0</v>
      </c>
      <c r="CD170" s="1008">
        <f t="shared" si="167"/>
        <v>0</v>
      </c>
      <c r="CE170" s="1008">
        <f t="shared" si="167"/>
        <v>0</v>
      </c>
      <c r="CF170" s="1008">
        <f t="shared" si="167"/>
        <v>0</v>
      </c>
      <c r="CG170" s="1008">
        <f t="shared" si="167"/>
        <v>0</v>
      </c>
      <c r="CH170" s="1008">
        <f t="shared" si="167"/>
        <v>0</v>
      </c>
      <c r="CI170" s="1008">
        <f t="shared" si="167"/>
        <v>0</v>
      </c>
      <c r="CJ170" s="1008"/>
      <c r="CK170" s="1008">
        <f t="shared" si="168"/>
        <v>0</v>
      </c>
      <c r="CL170" s="1008">
        <f t="shared" si="168"/>
        <v>0</v>
      </c>
      <c r="CM170" s="1011">
        <f t="shared" si="113"/>
        <v>0.93174229345064929</v>
      </c>
      <c r="CN170" s="1008">
        <f t="shared" si="176"/>
        <v>293993067</v>
      </c>
      <c r="CO170" s="1008"/>
      <c r="CP170" s="1008"/>
      <c r="CQ170" s="1008"/>
      <c r="CR170" s="1008">
        <f>+'[17]SEPTIEMBRE 2015'!$H$400</f>
        <v>77280360</v>
      </c>
      <c r="CS170" s="1008"/>
      <c r="CT170" s="1008">
        <f>+'[15]JULIO 2015'!$H$332+'[15]JULIO 2015'!$H$347</f>
        <v>208736238</v>
      </c>
      <c r="CU170" s="1008"/>
      <c r="CV170" s="1008"/>
      <c r="CW170" s="1008"/>
      <c r="CX170" s="1008"/>
      <c r="CY170" s="1008"/>
      <c r="CZ170" s="1008"/>
      <c r="DA170" s="1008"/>
      <c r="DB170" s="1008"/>
      <c r="DC170" s="1008"/>
      <c r="DD170" s="1008">
        <f>+'[15]JULIO 2015'!$H$358</f>
        <v>7976469</v>
      </c>
      <c r="DE170" s="1008"/>
      <c r="DF170" s="1008"/>
      <c r="DG170" s="1008"/>
      <c r="DH170" s="1008"/>
      <c r="DI170" s="1011">
        <f t="shared" si="115"/>
        <v>6.8257706549350705E-2</v>
      </c>
      <c r="DJ170" s="1008">
        <f t="shared" si="177"/>
        <v>21537385</v>
      </c>
      <c r="DK170" s="1008"/>
      <c r="DL170" s="1008"/>
      <c r="DM170" s="1008"/>
      <c r="DN170" s="1008">
        <f t="shared" si="163"/>
        <v>2719640</v>
      </c>
      <c r="DO170" s="1008">
        <f t="shared" si="163"/>
        <v>0</v>
      </c>
      <c r="DP170" s="1008">
        <f t="shared" si="163"/>
        <v>1263762</v>
      </c>
      <c r="DQ170" s="1008">
        <f t="shared" si="163"/>
        <v>0</v>
      </c>
      <c r="DR170" s="1008"/>
      <c r="DS170" s="1008">
        <f t="shared" si="169"/>
        <v>0</v>
      </c>
      <c r="DT170" s="1008">
        <f t="shared" si="169"/>
        <v>0</v>
      </c>
      <c r="DU170" s="1008"/>
      <c r="DV170" s="1008">
        <f t="shared" si="170"/>
        <v>0</v>
      </c>
      <c r="DW170" s="1008">
        <f t="shared" si="170"/>
        <v>0</v>
      </c>
      <c r="DX170" s="1008">
        <f t="shared" si="170"/>
        <v>0</v>
      </c>
      <c r="DY170" s="1008">
        <f t="shared" si="171"/>
        <v>0</v>
      </c>
      <c r="DZ170" s="1008">
        <f t="shared" si="171"/>
        <v>17553983</v>
      </c>
      <c r="EA170" s="1008">
        <f t="shared" si="171"/>
        <v>0</v>
      </c>
      <c r="EB170" s="1008">
        <f t="shared" si="171"/>
        <v>0</v>
      </c>
      <c r="EC170" s="1008">
        <f t="shared" si="171"/>
        <v>0</v>
      </c>
      <c r="ED170" s="1008">
        <f t="shared" si="172"/>
        <v>0</v>
      </c>
    </row>
    <row r="171" spans="1:134" ht="50.25" customHeight="1" x14ac:dyDescent="0.25">
      <c r="A171" s="1560"/>
      <c r="B171" s="989"/>
      <c r="C171" s="852" t="s">
        <v>4532</v>
      </c>
      <c r="D171" s="1019" t="s">
        <v>4746</v>
      </c>
      <c r="E171" s="995">
        <v>211</v>
      </c>
      <c r="F171" s="1097" t="s">
        <v>4744</v>
      </c>
      <c r="G171" s="1400"/>
      <c r="H171" s="1061">
        <f t="shared" si="143"/>
        <v>0</v>
      </c>
      <c r="I171" s="1061">
        <f t="shared" si="144"/>
        <v>5000000</v>
      </c>
      <c r="J171" s="1400"/>
      <c r="K171" s="1573"/>
      <c r="L171" s="1573"/>
      <c r="M171" s="1093">
        <v>0</v>
      </c>
      <c r="N171" s="1093">
        <v>0</v>
      </c>
      <c r="O171" s="1093">
        <v>0</v>
      </c>
      <c r="P171" s="1093">
        <v>0</v>
      </c>
      <c r="Q171" s="1093">
        <v>0</v>
      </c>
      <c r="R171" s="1093">
        <v>0</v>
      </c>
      <c r="S171" s="1097"/>
      <c r="T171" s="1097"/>
      <c r="U171" s="1097"/>
      <c r="V171" s="1097"/>
      <c r="W171" s="1097"/>
      <c r="X171" s="1097"/>
      <c r="Y171" s="1008">
        <f t="shared" si="173"/>
        <v>5000000</v>
      </c>
      <c r="Z171" s="944"/>
      <c r="AA171" s="944"/>
      <c r="AB171" s="944"/>
      <c r="AC171" s="944">
        <f>97849888-97849888</f>
        <v>0</v>
      </c>
      <c r="AD171" s="944"/>
      <c r="AE171" s="1008"/>
      <c r="AF171" s="1008">
        <f>97849888-97849888</f>
        <v>0</v>
      </c>
      <c r="AG171" s="1008"/>
      <c r="AH171" s="1008"/>
      <c r="AI171" s="1008"/>
      <c r="AJ171" s="1008"/>
      <c r="AK171" s="1008"/>
      <c r="AL171" s="1008"/>
      <c r="AM171" s="1008"/>
      <c r="AN171" s="1008"/>
      <c r="AO171" s="1008"/>
      <c r="AP171" s="1008"/>
      <c r="AQ171" s="1008"/>
      <c r="AR171" s="1008"/>
      <c r="AS171" s="1008">
        <f>5000000</f>
        <v>5000000</v>
      </c>
      <c r="AT171" s="1008"/>
      <c r="AU171" s="1011">
        <f t="shared" si="103"/>
        <v>1</v>
      </c>
      <c r="AV171" s="1008">
        <f t="shared" si="174"/>
        <v>5000000</v>
      </c>
      <c r="AW171" s="1008"/>
      <c r="AX171" s="1008"/>
      <c r="AY171" s="1008"/>
      <c r="AZ171" s="1008"/>
      <c r="BA171" s="1008"/>
      <c r="BB171" s="1008"/>
      <c r="BC171" s="1008"/>
      <c r="BD171" s="1008"/>
      <c r="BE171" s="1008"/>
      <c r="BF171" s="1008"/>
      <c r="BG171" s="1008"/>
      <c r="BH171" s="1008"/>
      <c r="BI171" s="1008"/>
      <c r="BJ171" s="1008"/>
      <c r="BK171" s="1008"/>
      <c r="BL171" s="1008"/>
      <c r="BM171" s="1008"/>
      <c r="BN171" s="1008"/>
      <c r="BO171" s="1008"/>
      <c r="BP171" s="1008">
        <f>+'[15]JULIO 2015'!$AD$363</f>
        <v>5000000</v>
      </c>
      <c r="BQ171" s="1011">
        <f t="shared" si="105"/>
        <v>0</v>
      </c>
      <c r="BR171" s="1008">
        <f t="shared" si="175"/>
        <v>0</v>
      </c>
      <c r="BS171" s="1008">
        <f t="shared" si="164"/>
        <v>0</v>
      </c>
      <c r="BT171" s="1008">
        <f t="shared" si="165"/>
        <v>0</v>
      </c>
      <c r="BU171" s="1008"/>
      <c r="BV171" s="1008">
        <f t="shared" si="162"/>
        <v>0</v>
      </c>
      <c r="BW171" s="1008">
        <f t="shared" si="162"/>
        <v>0</v>
      </c>
      <c r="BX171" s="1008">
        <f t="shared" si="166"/>
        <v>0</v>
      </c>
      <c r="BY171" s="1008">
        <f t="shared" si="166"/>
        <v>0</v>
      </c>
      <c r="BZ171" s="1008"/>
      <c r="CA171" s="1008">
        <f t="shared" si="167"/>
        <v>0</v>
      </c>
      <c r="CB171" s="1008">
        <f t="shared" si="167"/>
        <v>0</v>
      </c>
      <c r="CC171" s="1008">
        <f t="shared" si="167"/>
        <v>0</v>
      </c>
      <c r="CD171" s="1008">
        <f t="shared" si="167"/>
        <v>0</v>
      </c>
      <c r="CE171" s="1008">
        <f t="shared" si="167"/>
        <v>0</v>
      </c>
      <c r="CF171" s="1008">
        <f t="shared" si="167"/>
        <v>0</v>
      </c>
      <c r="CG171" s="1008">
        <f t="shared" si="167"/>
        <v>0</v>
      </c>
      <c r="CH171" s="1008">
        <f t="shared" si="167"/>
        <v>0</v>
      </c>
      <c r="CI171" s="1008">
        <f t="shared" si="167"/>
        <v>0</v>
      </c>
      <c r="CJ171" s="1008"/>
      <c r="CK171" s="1008">
        <f t="shared" si="168"/>
        <v>0</v>
      </c>
      <c r="CL171" s="1008">
        <f t="shared" si="168"/>
        <v>0</v>
      </c>
      <c r="CM171" s="1011">
        <f t="shared" si="113"/>
        <v>0</v>
      </c>
      <c r="CN171" s="1008">
        <f t="shared" si="176"/>
        <v>0</v>
      </c>
      <c r="CO171" s="1008"/>
      <c r="CP171" s="1008"/>
      <c r="CQ171" s="1008"/>
      <c r="CR171" s="1008"/>
      <c r="CS171" s="1008"/>
      <c r="CT171" s="1008"/>
      <c r="CU171" s="1008"/>
      <c r="CV171" s="1008"/>
      <c r="CW171" s="1008"/>
      <c r="CX171" s="1008"/>
      <c r="CY171" s="1008"/>
      <c r="CZ171" s="1008"/>
      <c r="DA171" s="1008"/>
      <c r="DB171" s="1008"/>
      <c r="DC171" s="1008"/>
      <c r="DD171" s="1008"/>
      <c r="DE171" s="1008"/>
      <c r="DF171" s="1008"/>
      <c r="DG171" s="1008"/>
      <c r="DH171" s="1008"/>
      <c r="DI171" s="1011">
        <f t="shared" si="115"/>
        <v>1</v>
      </c>
      <c r="DJ171" s="1008">
        <f t="shared" si="177"/>
        <v>5000000</v>
      </c>
      <c r="DK171" s="1008"/>
      <c r="DL171" s="1008"/>
      <c r="DM171" s="1008"/>
      <c r="DN171" s="1008">
        <f t="shared" si="163"/>
        <v>0</v>
      </c>
      <c r="DO171" s="1008">
        <f t="shared" si="163"/>
        <v>0</v>
      </c>
      <c r="DP171" s="1008">
        <f t="shared" si="163"/>
        <v>0</v>
      </c>
      <c r="DQ171" s="1008">
        <f t="shared" si="163"/>
        <v>0</v>
      </c>
      <c r="DR171" s="1008"/>
      <c r="DS171" s="1008">
        <f t="shared" si="169"/>
        <v>0</v>
      </c>
      <c r="DT171" s="1008">
        <f t="shared" si="169"/>
        <v>0</v>
      </c>
      <c r="DU171" s="1008"/>
      <c r="DV171" s="1008">
        <f t="shared" si="170"/>
        <v>0</v>
      </c>
      <c r="DW171" s="1008">
        <f t="shared" si="170"/>
        <v>0</v>
      </c>
      <c r="DX171" s="1008">
        <f t="shared" si="170"/>
        <v>0</v>
      </c>
      <c r="DY171" s="1008">
        <f t="shared" si="171"/>
        <v>0</v>
      </c>
      <c r="DZ171" s="1008">
        <f t="shared" si="171"/>
        <v>0</v>
      </c>
      <c r="EA171" s="1008">
        <f t="shared" si="171"/>
        <v>0</v>
      </c>
      <c r="EB171" s="1008">
        <f t="shared" si="171"/>
        <v>0</v>
      </c>
      <c r="EC171" s="1008">
        <f t="shared" si="171"/>
        <v>0</v>
      </c>
      <c r="ED171" s="1008">
        <f t="shared" si="172"/>
        <v>5000000</v>
      </c>
    </row>
    <row r="172" spans="1:134" ht="51.75" customHeight="1" x14ac:dyDescent="0.25">
      <c r="A172" s="1560"/>
      <c r="B172" s="989"/>
      <c r="C172" s="852" t="s">
        <v>4533</v>
      </c>
      <c r="D172" s="1019" t="s">
        <v>4537</v>
      </c>
      <c r="E172" s="995">
        <v>211</v>
      </c>
      <c r="F172" s="1097" t="s">
        <v>4512</v>
      </c>
      <c r="G172" s="1400"/>
      <c r="H172" s="1061">
        <f t="shared" si="143"/>
        <v>16564284</v>
      </c>
      <c r="I172" s="1061">
        <f t="shared" si="144"/>
        <v>25785828</v>
      </c>
      <c r="J172" s="1401"/>
      <c r="K172" s="1284"/>
      <c r="L172" s="1284"/>
      <c r="M172" s="1093">
        <v>21</v>
      </c>
      <c r="N172" s="1093">
        <v>0</v>
      </c>
      <c r="O172" s="1093">
        <v>0</v>
      </c>
      <c r="P172" s="1093">
        <v>10</v>
      </c>
      <c r="Q172" s="1093">
        <v>20</v>
      </c>
      <c r="R172" s="1093">
        <v>2</v>
      </c>
      <c r="S172" s="1097"/>
      <c r="T172" s="1097"/>
      <c r="U172" s="1097"/>
      <c r="V172" s="1097"/>
      <c r="W172" s="1097"/>
      <c r="X172" s="1097"/>
      <c r="Y172" s="1008">
        <f t="shared" si="173"/>
        <v>42350112</v>
      </c>
      <c r="Z172" s="944"/>
      <c r="AA172" s="1008"/>
      <c r="AB172" s="1008"/>
      <c r="AC172" s="1008"/>
      <c r="AD172" s="1008"/>
      <c r="AE172" s="1008"/>
      <c r="AF172" s="1008"/>
      <c r="AG172" s="1008"/>
      <c r="AH172" s="1008"/>
      <c r="AI172" s="1008"/>
      <c r="AJ172" s="1008"/>
      <c r="AK172" s="1008"/>
      <c r="AL172" s="1008"/>
      <c r="AM172" s="1008"/>
      <c r="AN172" s="1008"/>
      <c r="AO172" s="1008"/>
      <c r="AP172" s="1008"/>
      <c r="AQ172" s="1008"/>
      <c r="AR172" s="1008"/>
      <c r="AS172" s="1008">
        <f>8134775+1015337+11000000+21000000+1200000</f>
        <v>42350112</v>
      </c>
      <c r="AT172" s="1008"/>
      <c r="AU172" s="1011">
        <f t="shared" si="103"/>
        <v>0.57491994354111742</v>
      </c>
      <c r="AV172" s="1008">
        <f t="shared" si="174"/>
        <v>24347924</v>
      </c>
      <c r="AW172" s="1008"/>
      <c r="AX172" s="1008"/>
      <c r="AY172" s="1008"/>
      <c r="AZ172" s="1008"/>
      <c r="BA172" s="1008"/>
      <c r="BB172" s="1008"/>
      <c r="BC172" s="1008"/>
      <c r="BD172" s="1008"/>
      <c r="BE172" s="1008"/>
      <c r="BF172" s="1008"/>
      <c r="BG172" s="1008"/>
      <c r="BH172" s="1008"/>
      <c r="BI172" s="1008"/>
      <c r="BJ172" s="1008"/>
      <c r="BK172" s="1008"/>
      <c r="BL172" s="1008"/>
      <c r="BM172" s="1008"/>
      <c r="BN172" s="1008"/>
      <c r="BO172" s="1008"/>
      <c r="BP172" s="1008">
        <f>+'[17]SEPTIEMBRE 2015'!$AD$411</f>
        <v>24347924</v>
      </c>
      <c r="BQ172" s="1011">
        <f t="shared" si="105"/>
        <v>0.42508005645888258</v>
      </c>
      <c r="BR172" s="1008">
        <f t="shared" si="175"/>
        <v>18002188</v>
      </c>
      <c r="BS172" s="1008">
        <f t="shared" si="164"/>
        <v>0</v>
      </c>
      <c r="BT172" s="1008">
        <f t="shared" si="165"/>
        <v>0</v>
      </c>
      <c r="BU172" s="1008"/>
      <c r="BV172" s="1008">
        <f t="shared" si="162"/>
        <v>0</v>
      </c>
      <c r="BW172" s="1008">
        <f t="shared" si="162"/>
        <v>0</v>
      </c>
      <c r="BX172" s="1008">
        <f t="shared" si="166"/>
        <v>0</v>
      </c>
      <c r="BY172" s="1008">
        <f t="shared" si="166"/>
        <v>0</v>
      </c>
      <c r="BZ172" s="1008"/>
      <c r="CA172" s="1008">
        <f t="shared" si="167"/>
        <v>0</v>
      </c>
      <c r="CB172" s="1008">
        <f t="shared" si="167"/>
        <v>0</v>
      </c>
      <c r="CC172" s="1008">
        <f t="shared" si="167"/>
        <v>0</v>
      </c>
      <c r="CD172" s="1008">
        <f t="shared" si="167"/>
        <v>0</v>
      </c>
      <c r="CE172" s="1008">
        <f t="shared" si="167"/>
        <v>0</v>
      </c>
      <c r="CF172" s="1008">
        <f t="shared" si="167"/>
        <v>0</v>
      </c>
      <c r="CG172" s="1008">
        <f t="shared" si="167"/>
        <v>0</v>
      </c>
      <c r="CH172" s="1008">
        <f t="shared" si="167"/>
        <v>0</v>
      </c>
      <c r="CI172" s="1008">
        <f t="shared" si="167"/>
        <v>0</v>
      </c>
      <c r="CJ172" s="1008"/>
      <c r="CK172" s="1008">
        <f t="shared" si="168"/>
        <v>0</v>
      </c>
      <c r="CL172" s="1008">
        <f t="shared" si="168"/>
        <v>18002188</v>
      </c>
      <c r="CM172" s="1011">
        <f t="shared" si="113"/>
        <v>0.39112727730212377</v>
      </c>
      <c r="CN172" s="1008">
        <f t="shared" si="176"/>
        <v>16564284</v>
      </c>
      <c r="CO172" s="1008"/>
      <c r="CP172" s="1008"/>
      <c r="CQ172" s="1008"/>
      <c r="CR172" s="1008"/>
      <c r="CS172" s="1008"/>
      <c r="CT172" s="1008"/>
      <c r="CU172" s="1008"/>
      <c r="CV172" s="1008"/>
      <c r="CW172" s="1008"/>
      <c r="CX172" s="1008"/>
      <c r="CY172" s="1008"/>
      <c r="CZ172" s="1008"/>
      <c r="DA172" s="1008"/>
      <c r="DB172" s="1008"/>
      <c r="DC172" s="1008"/>
      <c r="DD172" s="1008"/>
      <c r="DE172" s="1008"/>
      <c r="DF172" s="1008"/>
      <c r="DG172" s="1008"/>
      <c r="DH172" s="1008">
        <f>+'[18]OCTUBRE 2015'!$H$429</f>
        <v>16564284</v>
      </c>
      <c r="DI172" s="1011">
        <f t="shared" si="115"/>
        <v>0.60887272269787629</v>
      </c>
      <c r="DJ172" s="1008">
        <f t="shared" si="177"/>
        <v>25785828</v>
      </c>
      <c r="DK172" s="1008"/>
      <c r="DL172" s="1008"/>
      <c r="DM172" s="1008"/>
      <c r="DN172" s="1008">
        <f t="shared" si="163"/>
        <v>0</v>
      </c>
      <c r="DO172" s="1008">
        <f t="shared" si="163"/>
        <v>0</v>
      </c>
      <c r="DP172" s="1008">
        <f t="shared" si="163"/>
        <v>0</v>
      </c>
      <c r="DQ172" s="1008">
        <f t="shared" si="163"/>
        <v>0</v>
      </c>
      <c r="DR172" s="1008"/>
      <c r="DS172" s="1008">
        <f t="shared" si="169"/>
        <v>0</v>
      </c>
      <c r="DT172" s="1008">
        <f t="shared" si="169"/>
        <v>0</v>
      </c>
      <c r="DU172" s="1008"/>
      <c r="DV172" s="1008">
        <f t="shared" si="170"/>
        <v>0</v>
      </c>
      <c r="DW172" s="1008">
        <f t="shared" si="170"/>
        <v>0</v>
      </c>
      <c r="DX172" s="1008">
        <f t="shared" si="170"/>
        <v>0</v>
      </c>
      <c r="DY172" s="1008">
        <f t="shared" si="171"/>
        <v>0</v>
      </c>
      <c r="DZ172" s="1008">
        <f t="shared" si="171"/>
        <v>0</v>
      </c>
      <c r="EA172" s="1008">
        <f t="shared" si="171"/>
        <v>0</v>
      </c>
      <c r="EB172" s="1008">
        <f t="shared" si="171"/>
        <v>0</v>
      </c>
      <c r="EC172" s="1008">
        <f t="shared" si="171"/>
        <v>0</v>
      </c>
      <c r="ED172" s="1008">
        <f t="shared" si="172"/>
        <v>25785828</v>
      </c>
    </row>
    <row r="173" spans="1:134" ht="51.75" customHeight="1" x14ac:dyDescent="0.25">
      <c r="A173" s="1560"/>
      <c r="B173" s="989"/>
      <c r="C173" s="852" t="s">
        <v>4679</v>
      </c>
      <c r="D173" s="1019" t="s">
        <v>4682</v>
      </c>
      <c r="E173" s="995">
        <v>211</v>
      </c>
      <c r="F173" s="1097" t="s">
        <v>4482</v>
      </c>
      <c r="G173" s="1400"/>
      <c r="H173" s="1061">
        <f t="shared" si="143"/>
        <v>0</v>
      </c>
      <c r="I173" s="1061">
        <f t="shared" si="144"/>
        <v>92524043</v>
      </c>
      <c r="J173" s="1399">
        <v>0</v>
      </c>
      <c r="K173" s="1583">
        <v>1</v>
      </c>
      <c r="L173" s="1283">
        <v>100</v>
      </c>
      <c r="M173" s="1093">
        <v>0</v>
      </c>
      <c r="N173" s="1093">
        <v>0</v>
      </c>
      <c r="O173" s="1093">
        <v>0</v>
      </c>
      <c r="P173" s="1093">
        <v>0</v>
      </c>
      <c r="Q173" s="1093">
        <v>0</v>
      </c>
      <c r="R173" s="1093">
        <v>0</v>
      </c>
      <c r="S173" s="1097"/>
      <c r="T173" s="1097"/>
      <c r="U173" s="1097"/>
      <c r="V173" s="1097"/>
      <c r="W173" s="1097"/>
      <c r="X173" s="1097"/>
      <c r="Y173" s="1008">
        <f t="shared" si="173"/>
        <v>92524043</v>
      </c>
      <c r="Z173" s="944"/>
      <c r="AA173" s="1008"/>
      <c r="AB173" s="1008"/>
      <c r="AC173" s="1008"/>
      <c r="AD173" s="1008"/>
      <c r="AE173" s="1008"/>
      <c r="AF173" s="1008"/>
      <c r="AG173" s="1008"/>
      <c r="AH173" s="1008"/>
      <c r="AI173" s="1008"/>
      <c r="AJ173" s="1008"/>
      <c r="AK173" s="1008"/>
      <c r="AL173" s="1008"/>
      <c r="AM173" s="1008"/>
      <c r="AN173" s="1008"/>
      <c r="AO173" s="1008"/>
      <c r="AP173" s="1008"/>
      <c r="AQ173" s="1008"/>
      <c r="AR173" s="1008">
        <v>92524043</v>
      </c>
      <c r="AS173" s="1008"/>
      <c r="AT173" s="1008"/>
      <c r="AU173" s="1011">
        <f t="shared" si="103"/>
        <v>1</v>
      </c>
      <c r="AV173" s="1008">
        <f t="shared" si="174"/>
        <v>92524043</v>
      </c>
      <c r="AW173" s="1008"/>
      <c r="AX173" s="1008"/>
      <c r="AY173" s="1008"/>
      <c r="AZ173" s="1008"/>
      <c r="BA173" s="1008"/>
      <c r="BB173" s="1008"/>
      <c r="BC173" s="1008"/>
      <c r="BD173" s="1008"/>
      <c r="BE173" s="1008"/>
      <c r="BF173" s="1008"/>
      <c r="BG173" s="1008"/>
      <c r="BH173" s="1008"/>
      <c r="BI173" s="1008"/>
      <c r="BJ173" s="1008"/>
      <c r="BK173" s="1008"/>
      <c r="BL173" s="1008"/>
      <c r="BM173" s="1008"/>
      <c r="BN173" s="1008"/>
      <c r="BO173" s="1008">
        <f>+'[16]AGOSTO 2015'!$AC$401</f>
        <v>92524043</v>
      </c>
      <c r="BP173" s="1008"/>
      <c r="BQ173" s="1011">
        <f t="shared" si="105"/>
        <v>0</v>
      </c>
      <c r="BR173" s="1008">
        <f t="shared" si="175"/>
        <v>0</v>
      </c>
      <c r="BS173" s="1008">
        <f t="shared" si="164"/>
        <v>0</v>
      </c>
      <c r="BT173" s="1008">
        <f t="shared" si="165"/>
        <v>0</v>
      </c>
      <c r="BU173" s="1008"/>
      <c r="BV173" s="1008">
        <f t="shared" si="162"/>
        <v>0</v>
      </c>
      <c r="BW173" s="1008">
        <f t="shared" si="162"/>
        <v>0</v>
      </c>
      <c r="BX173" s="1008">
        <f t="shared" si="166"/>
        <v>0</v>
      </c>
      <c r="BY173" s="1008">
        <f t="shared" si="166"/>
        <v>0</v>
      </c>
      <c r="BZ173" s="1008"/>
      <c r="CA173" s="1008">
        <f t="shared" si="167"/>
        <v>0</v>
      </c>
      <c r="CB173" s="1008">
        <f t="shared" si="167"/>
        <v>0</v>
      </c>
      <c r="CC173" s="1008">
        <f t="shared" si="167"/>
        <v>0</v>
      </c>
      <c r="CD173" s="1008">
        <f t="shared" si="167"/>
        <v>0</v>
      </c>
      <c r="CE173" s="1008">
        <f t="shared" si="167"/>
        <v>0</v>
      </c>
      <c r="CF173" s="1008">
        <f t="shared" si="167"/>
        <v>0</v>
      </c>
      <c r="CG173" s="1008">
        <f t="shared" si="167"/>
        <v>0</v>
      </c>
      <c r="CH173" s="1008">
        <f t="shared" si="167"/>
        <v>0</v>
      </c>
      <c r="CI173" s="1008">
        <f t="shared" si="167"/>
        <v>0</v>
      </c>
      <c r="CJ173" s="1008"/>
      <c r="CK173" s="1008">
        <f t="shared" si="168"/>
        <v>0</v>
      </c>
      <c r="CL173" s="1008">
        <f t="shared" si="168"/>
        <v>0</v>
      </c>
      <c r="CM173" s="1011">
        <f t="shared" si="113"/>
        <v>0</v>
      </c>
      <c r="CN173" s="1008">
        <f t="shared" si="176"/>
        <v>0</v>
      </c>
      <c r="CO173" s="1008"/>
      <c r="CP173" s="1008"/>
      <c r="CQ173" s="1008"/>
      <c r="CR173" s="1008"/>
      <c r="CS173" s="1008"/>
      <c r="CT173" s="1008"/>
      <c r="CU173" s="1008"/>
      <c r="CV173" s="1008"/>
      <c r="CW173" s="1008"/>
      <c r="CX173" s="1008"/>
      <c r="CY173" s="1008"/>
      <c r="CZ173" s="1008"/>
      <c r="DA173" s="1008"/>
      <c r="DB173" s="1008"/>
      <c r="DC173" s="1008"/>
      <c r="DD173" s="1008"/>
      <c r="DE173" s="1008"/>
      <c r="DF173" s="1008"/>
      <c r="DG173" s="1008"/>
      <c r="DH173" s="1008"/>
      <c r="DI173" s="1011">
        <f t="shared" si="115"/>
        <v>1</v>
      </c>
      <c r="DJ173" s="1008">
        <f t="shared" si="177"/>
        <v>92524043</v>
      </c>
      <c r="DK173" s="1008"/>
      <c r="DL173" s="1008"/>
      <c r="DM173" s="1008"/>
      <c r="DN173" s="1008">
        <f t="shared" si="163"/>
        <v>0</v>
      </c>
      <c r="DO173" s="1008">
        <f t="shared" si="163"/>
        <v>0</v>
      </c>
      <c r="DP173" s="1008">
        <f t="shared" si="163"/>
        <v>0</v>
      </c>
      <c r="DQ173" s="1008">
        <f t="shared" si="163"/>
        <v>0</v>
      </c>
      <c r="DR173" s="1008"/>
      <c r="DS173" s="1008">
        <f t="shared" si="169"/>
        <v>0</v>
      </c>
      <c r="DT173" s="1008">
        <f t="shared" si="169"/>
        <v>0</v>
      </c>
      <c r="DU173" s="1008"/>
      <c r="DV173" s="1008">
        <f t="shared" si="170"/>
        <v>0</v>
      </c>
      <c r="DW173" s="1008">
        <f t="shared" si="170"/>
        <v>0</v>
      </c>
      <c r="DX173" s="1008">
        <f t="shared" si="170"/>
        <v>0</v>
      </c>
      <c r="DY173" s="1008">
        <f t="shared" si="171"/>
        <v>0</v>
      </c>
      <c r="DZ173" s="1008">
        <f t="shared" si="171"/>
        <v>0</v>
      </c>
      <c r="EA173" s="1008">
        <f t="shared" si="171"/>
        <v>0</v>
      </c>
      <c r="EB173" s="1008">
        <f t="shared" si="171"/>
        <v>0</v>
      </c>
      <c r="EC173" s="1008">
        <f t="shared" si="171"/>
        <v>92524043</v>
      </c>
      <c r="ED173" s="1008">
        <f t="shared" si="172"/>
        <v>0</v>
      </c>
    </row>
    <row r="174" spans="1:134" s="203" customFormat="1" ht="36" customHeight="1" x14ac:dyDescent="0.25">
      <c r="A174" s="1560"/>
      <c r="B174" s="989"/>
      <c r="C174" s="1081" t="s">
        <v>4708</v>
      </c>
      <c r="D174" s="1019" t="s">
        <v>4709</v>
      </c>
      <c r="E174" s="997">
        <v>211</v>
      </c>
      <c r="F174" s="1097" t="s">
        <v>4482</v>
      </c>
      <c r="G174" s="1400"/>
      <c r="H174" s="1061">
        <f t="shared" si="143"/>
        <v>0</v>
      </c>
      <c r="I174" s="1061">
        <f t="shared" si="144"/>
        <v>0</v>
      </c>
      <c r="J174" s="1400"/>
      <c r="K174" s="1584"/>
      <c r="L174" s="1573"/>
      <c r="M174" s="1075">
        <v>0</v>
      </c>
      <c r="N174" s="1075">
        <v>0</v>
      </c>
      <c r="O174" s="1075">
        <v>0</v>
      </c>
      <c r="P174" s="1075"/>
      <c r="Q174" s="1075"/>
      <c r="R174" s="1075"/>
      <c r="S174" s="1097"/>
      <c r="T174" s="1097"/>
      <c r="U174" s="1097"/>
      <c r="V174" s="1097"/>
      <c r="W174" s="1097"/>
      <c r="X174" s="1097"/>
      <c r="Y174" s="1067">
        <f t="shared" si="173"/>
        <v>0</v>
      </c>
      <c r="Z174" s="149"/>
      <c r="AA174" s="1067"/>
      <c r="AB174" s="1067"/>
      <c r="AC174" s="1067">
        <f>31000000-31000000</f>
        <v>0</v>
      </c>
      <c r="AD174" s="1067"/>
      <c r="AE174" s="1067"/>
      <c r="AF174" s="1067"/>
      <c r="AG174" s="1067"/>
      <c r="AH174" s="1067"/>
      <c r="AI174" s="1067"/>
      <c r="AJ174" s="1067"/>
      <c r="AK174" s="1067"/>
      <c r="AL174" s="1067"/>
      <c r="AM174" s="1067"/>
      <c r="AN174" s="1067"/>
      <c r="AO174" s="1067"/>
      <c r="AP174" s="1067"/>
      <c r="AQ174" s="1067"/>
      <c r="AR174" s="1067"/>
      <c r="AS174" s="1067"/>
      <c r="AT174" s="1067"/>
      <c r="AU174" s="1082" t="e">
        <f t="shared" si="103"/>
        <v>#DIV/0!</v>
      </c>
      <c r="AV174" s="1067">
        <f t="shared" si="174"/>
        <v>0</v>
      </c>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82" t="e">
        <f t="shared" si="105"/>
        <v>#DIV/0!</v>
      </c>
      <c r="BR174" s="1067">
        <f t="shared" si="175"/>
        <v>0</v>
      </c>
      <c r="BS174" s="1067"/>
      <c r="BT174" s="1067"/>
      <c r="BU174" s="1067"/>
      <c r="BV174" s="1067">
        <f t="shared" si="162"/>
        <v>0</v>
      </c>
      <c r="BW174" s="1067"/>
      <c r="BX174" s="1067"/>
      <c r="BY174" s="1067"/>
      <c r="BZ174" s="1067"/>
      <c r="CA174" s="1067"/>
      <c r="CB174" s="1067"/>
      <c r="CC174" s="1067"/>
      <c r="CD174" s="1067"/>
      <c r="CE174" s="1067"/>
      <c r="CF174" s="1067"/>
      <c r="CG174" s="1067"/>
      <c r="CH174" s="1067"/>
      <c r="CI174" s="1067"/>
      <c r="CJ174" s="1067"/>
      <c r="CK174" s="1067"/>
      <c r="CL174" s="1067"/>
      <c r="CM174" s="1082" t="e">
        <f t="shared" si="113"/>
        <v>#DIV/0!</v>
      </c>
      <c r="CN174" s="1067">
        <f t="shared" si="176"/>
        <v>0</v>
      </c>
      <c r="CO174" s="1067"/>
      <c r="CP174" s="1067"/>
      <c r="CQ174" s="1067"/>
      <c r="CR174" s="1067"/>
      <c r="CS174" s="1067"/>
      <c r="CT174" s="1067"/>
      <c r="CU174" s="1067"/>
      <c r="CV174" s="1067"/>
      <c r="CW174" s="1067"/>
      <c r="CX174" s="1067"/>
      <c r="CY174" s="1067"/>
      <c r="CZ174" s="1067"/>
      <c r="DA174" s="1067"/>
      <c r="DB174" s="1067"/>
      <c r="DC174" s="1067"/>
      <c r="DD174" s="1067"/>
      <c r="DE174" s="1067"/>
      <c r="DF174" s="1067"/>
      <c r="DG174" s="1067"/>
      <c r="DH174" s="1067"/>
      <c r="DI174" s="1082" t="e">
        <f t="shared" si="115"/>
        <v>#DIV/0!</v>
      </c>
      <c r="DJ174" s="1067">
        <f t="shared" si="177"/>
        <v>0</v>
      </c>
      <c r="DK174" s="1067"/>
      <c r="DL174" s="1067"/>
      <c r="DM174" s="1067"/>
      <c r="DN174" s="1067">
        <f t="shared" si="163"/>
        <v>0</v>
      </c>
      <c r="DO174" s="1067"/>
      <c r="DP174" s="1067"/>
      <c r="DQ174" s="1067"/>
      <c r="DR174" s="1067"/>
      <c r="DS174" s="1067"/>
      <c r="DT174" s="1067"/>
      <c r="DU174" s="1067"/>
      <c r="DV174" s="1067"/>
      <c r="DW174" s="1067"/>
      <c r="DX174" s="1067"/>
      <c r="DY174" s="1067"/>
      <c r="DZ174" s="1067"/>
      <c r="EA174" s="1067"/>
      <c r="EB174" s="1067"/>
      <c r="EC174" s="1067"/>
      <c r="ED174" s="1067"/>
    </row>
    <row r="175" spans="1:134" s="203" customFormat="1" ht="31.5" customHeight="1" x14ac:dyDescent="0.25">
      <c r="A175" s="1560"/>
      <c r="B175" s="989"/>
      <c r="C175" s="1081" t="s">
        <v>4712</v>
      </c>
      <c r="D175" s="1019" t="s">
        <v>4713</v>
      </c>
      <c r="E175" s="997">
        <v>211</v>
      </c>
      <c r="F175" s="1097" t="s">
        <v>4482</v>
      </c>
      <c r="G175" s="1400"/>
      <c r="H175" s="1061">
        <f t="shared" si="143"/>
        <v>0</v>
      </c>
      <c r="I175" s="1061">
        <f t="shared" si="144"/>
        <v>0</v>
      </c>
      <c r="J175" s="1400"/>
      <c r="K175" s="1584"/>
      <c r="L175" s="1573"/>
      <c r="M175" s="1075">
        <v>0</v>
      </c>
      <c r="N175" s="1075">
        <v>0</v>
      </c>
      <c r="O175" s="1075">
        <v>0</v>
      </c>
      <c r="P175" s="1075"/>
      <c r="Q175" s="1075"/>
      <c r="R175" s="1075"/>
      <c r="S175" s="1097"/>
      <c r="T175" s="1097"/>
      <c r="U175" s="1097"/>
      <c r="V175" s="1097"/>
      <c r="W175" s="1097"/>
      <c r="X175" s="1097"/>
      <c r="Y175" s="1067">
        <f t="shared" si="173"/>
        <v>0</v>
      </c>
      <c r="Z175" s="149"/>
      <c r="AA175" s="1067"/>
      <c r="AB175" s="1067"/>
      <c r="AC175" s="1067">
        <f>100000000-100000000</f>
        <v>0</v>
      </c>
      <c r="AD175" s="1067"/>
      <c r="AE175" s="1067"/>
      <c r="AF175" s="1067"/>
      <c r="AG175" s="1067"/>
      <c r="AH175" s="1067"/>
      <c r="AI175" s="1067"/>
      <c r="AJ175" s="1067"/>
      <c r="AK175" s="1067"/>
      <c r="AL175" s="1067"/>
      <c r="AM175" s="1067"/>
      <c r="AN175" s="1067"/>
      <c r="AO175" s="1067"/>
      <c r="AP175" s="1067"/>
      <c r="AQ175" s="1067"/>
      <c r="AR175" s="1067"/>
      <c r="AS175" s="1067"/>
      <c r="AT175" s="1067"/>
      <c r="AU175" s="1082" t="e">
        <f t="shared" si="103"/>
        <v>#DIV/0!</v>
      </c>
      <c r="AV175" s="1067">
        <f t="shared" si="174"/>
        <v>0</v>
      </c>
      <c r="AW175" s="1067"/>
      <c r="AX175" s="1067"/>
      <c r="AY175" s="1067"/>
      <c r="AZ175" s="1067"/>
      <c r="BA175" s="1067"/>
      <c r="BB175" s="1067"/>
      <c r="BC175" s="1067"/>
      <c r="BD175" s="1067"/>
      <c r="BE175" s="1067"/>
      <c r="BF175" s="1067"/>
      <c r="BG175" s="1067"/>
      <c r="BH175" s="1067"/>
      <c r="BI175" s="1067"/>
      <c r="BJ175" s="1067"/>
      <c r="BK175" s="1067"/>
      <c r="BL175" s="1067"/>
      <c r="BM175" s="1067"/>
      <c r="BN175" s="1067"/>
      <c r="BO175" s="1067"/>
      <c r="BP175" s="1067"/>
      <c r="BQ175" s="1082" t="e">
        <f t="shared" si="105"/>
        <v>#DIV/0!</v>
      </c>
      <c r="BR175" s="1067">
        <f t="shared" si="175"/>
        <v>0</v>
      </c>
      <c r="BS175" s="1067"/>
      <c r="BT175" s="1067"/>
      <c r="BU175" s="1067"/>
      <c r="BV175" s="1067">
        <f t="shared" si="162"/>
        <v>0</v>
      </c>
      <c r="BW175" s="1067"/>
      <c r="BX175" s="1067"/>
      <c r="BY175" s="1067"/>
      <c r="BZ175" s="1067"/>
      <c r="CA175" s="1067"/>
      <c r="CB175" s="1067"/>
      <c r="CC175" s="1067"/>
      <c r="CD175" s="1067"/>
      <c r="CE175" s="1067"/>
      <c r="CF175" s="1067"/>
      <c r="CG175" s="1067"/>
      <c r="CH175" s="1067"/>
      <c r="CI175" s="1067"/>
      <c r="CJ175" s="1067"/>
      <c r="CK175" s="1067"/>
      <c r="CL175" s="1067"/>
      <c r="CM175" s="1082" t="e">
        <f t="shared" si="113"/>
        <v>#DIV/0!</v>
      </c>
      <c r="CN175" s="1067">
        <f t="shared" si="176"/>
        <v>0</v>
      </c>
      <c r="CO175" s="1067"/>
      <c r="CP175" s="1067"/>
      <c r="CQ175" s="1067"/>
      <c r="CR175" s="1067"/>
      <c r="CS175" s="1067"/>
      <c r="CT175" s="1067"/>
      <c r="CU175" s="1067"/>
      <c r="CV175" s="1067"/>
      <c r="CW175" s="1067"/>
      <c r="CX175" s="1067"/>
      <c r="CY175" s="1067"/>
      <c r="CZ175" s="1067"/>
      <c r="DA175" s="1067"/>
      <c r="DB175" s="1067"/>
      <c r="DC175" s="1067"/>
      <c r="DD175" s="1067"/>
      <c r="DE175" s="1067"/>
      <c r="DF175" s="1067"/>
      <c r="DG175" s="1067"/>
      <c r="DH175" s="1067"/>
      <c r="DI175" s="1082" t="e">
        <f t="shared" si="115"/>
        <v>#DIV/0!</v>
      </c>
      <c r="DJ175" s="1067">
        <f t="shared" si="177"/>
        <v>0</v>
      </c>
      <c r="DK175" s="1067"/>
      <c r="DL175" s="1067"/>
      <c r="DM175" s="1067"/>
      <c r="DN175" s="1067">
        <f t="shared" si="163"/>
        <v>0</v>
      </c>
      <c r="DO175" s="1067"/>
      <c r="DP175" s="1067"/>
      <c r="DQ175" s="1067"/>
      <c r="DR175" s="1067"/>
      <c r="DS175" s="1067"/>
      <c r="DT175" s="1067"/>
      <c r="DU175" s="1067"/>
      <c r="DV175" s="1067"/>
      <c r="DW175" s="1067"/>
      <c r="DX175" s="1067"/>
      <c r="DY175" s="1067"/>
      <c r="DZ175" s="1067"/>
      <c r="EA175" s="1067"/>
      <c r="EB175" s="1067"/>
      <c r="EC175" s="1067"/>
      <c r="ED175" s="1067"/>
    </row>
    <row r="176" spans="1:134" s="203" customFormat="1" ht="24" customHeight="1" x14ac:dyDescent="0.25">
      <c r="A176" s="1560"/>
      <c r="B176" s="989"/>
      <c r="C176" s="1081" t="s">
        <v>4717</v>
      </c>
      <c r="D176" s="1019" t="s">
        <v>4722</v>
      </c>
      <c r="E176" s="997">
        <v>211</v>
      </c>
      <c r="F176" s="1097" t="s">
        <v>4482</v>
      </c>
      <c r="G176" s="1401"/>
      <c r="H176" s="1061">
        <f t="shared" si="143"/>
        <v>0</v>
      </c>
      <c r="I176" s="1061">
        <f t="shared" si="144"/>
        <v>0</v>
      </c>
      <c r="J176" s="1401"/>
      <c r="K176" s="1585"/>
      <c r="L176" s="1284"/>
      <c r="M176" s="1075"/>
      <c r="N176" s="1075"/>
      <c r="O176" s="1075"/>
      <c r="P176" s="1075">
        <v>0</v>
      </c>
      <c r="Q176" s="1075">
        <v>0</v>
      </c>
      <c r="R176" s="1075">
        <v>0</v>
      </c>
      <c r="S176" s="1097"/>
      <c r="T176" s="1097"/>
      <c r="U176" s="1097"/>
      <c r="V176" s="1097"/>
      <c r="W176" s="1097"/>
      <c r="X176" s="1097"/>
      <c r="Y176" s="1067">
        <f t="shared" si="173"/>
        <v>0</v>
      </c>
      <c r="Z176" s="149"/>
      <c r="AA176" s="1067"/>
      <c r="AB176" s="1067"/>
      <c r="AC176" s="1067">
        <f>1000000000-710000000-290000000</f>
        <v>0</v>
      </c>
      <c r="AD176" s="1067"/>
      <c r="AE176" s="1067"/>
      <c r="AF176" s="1067"/>
      <c r="AG176" s="1067"/>
      <c r="AH176" s="1067"/>
      <c r="AI176" s="1067"/>
      <c r="AJ176" s="1067"/>
      <c r="AK176" s="1067"/>
      <c r="AL176" s="1067"/>
      <c r="AM176" s="1067"/>
      <c r="AN176" s="1067"/>
      <c r="AO176" s="1067"/>
      <c r="AP176" s="1067"/>
      <c r="AQ176" s="1067"/>
      <c r="AR176" s="1067"/>
      <c r="AS176" s="1067"/>
      <c r="AT176" s="1067"/>
      <c r="AU176" s="1082"/>
      <c r="AV176" s="1067">
        <f t="shared" si="174"/>
        <v>0</v>
      </c>
      <c r="AW176" s="1067"/>
      <c r="AX176" s="1067"/>
      <c r="AY176" s="1067"/>
      <c r="AZ176" s="1067"/>
      <c r="BA176" s="1067"/>
      <c r="BB176" s="1067"/>
      <c r="BC176" s="1067"/>
      <c r="BD176" s="1067"/>
      <c r="BE176" s="1067"/>
      <c r="BF176" s="1067"/>
      <c r="BG176" s="1067"/>
      <c r="BH176" s="1067"/>
      <c r="BI176" s="1067"/>
      <c r="BJ176" s="1067"/>
      <c r="BK176" s="1067"/>
      <c r="BL176" s="1067"/>
      <c r="BM176" s="1067"/>
      <c r="BN176" s="1067"/>
      <c r="BO176" s="1067"/>
      <c r="BP176" s="1067"/>
      <c r="BQ176" s="1082"/>
      <c r="BR176" s="1067">
        <f t="shared" si="175"/>
        <v>0</v>
      </c>
      <c r="BS176" s="1067"/>
      <c r="BT176" s="1067"/>
      <c r="BU176" s="1067"/>
      <c r="BV176" s="1067">
        <f t="shared" si="162"/>
        <v>0</v>
      </c>
      <c r="BW176" s="1067"/>
      <c r="BX176" s="1067"/>
      <c r="BY176" s="1067"/>
      <c r="BZ176" s="1067"/>
      <c r="CA176" s="1067"/>
      <c r="CB176" s="1067"/>
      <c r="CC176" s="1067"/>
      <c r="CD176" s="1067"/>
      <c r="CE176" s="1067"/>
      <c r="CF176" s="1067"/>
      <c r="CG176" s="1067"/>
      <c r="CH176" s="1067"/>
      <c r="CI176" s="1067"/>
      <c r="CJ176" s="1067"/>
      <c r="CK176" s="1067"/>
      <c r="CL176" s="1067"/>
      <c r="CM176" s="1082" t="e">
        <f t="shared" si="113"/>
        <v>#DIV/0!</v>
      </c>
      <c r="CN176" s="1067">
        <f t="shared" si="176"/>
        <v>0</v>
      </c>
      <c r="CO176" s="1067"/>
      <c r="CP176" s="1067"/>
      <c r="CQ176" s="1067"/>
      <c r="CR176" s="1067"/>
      <c r="CS176" s="1067"/>
      <c r="CT176" s="1067"/>
      <c r="CU176" s="1067"/>
      <c r="CV176" s="1067"/>
      <c r="CW176" s="1067"/>
      <c r="CX176" s="1067"/>
      <c r="CY176" s="1067"/>
      <c r="CZ176" s="1067"/>
      <c r="DA176" s="1067"/>
      <c r="DB176" s="1067"/>
      <c r="DC176" s="1067"/>
      <c r="DD176" s="1067"/>
      <c r="DE176" s="1067"/>
      <c r="DF176" s="1067"/>
      <c r="DG176" s="1067"/>
      <c r="DH176" s="1067"/>
      <c r="DI176" s="1082"/>
      <c r="DJ176" s="1067">
        <f t="shared" si="177"/>
        <v>0</v>
      </c>
      <c r="DK176" s="1067"/>
      <c r="DL176" s="1067"/>
      <c r="DM176" s="1067"/>
      <c r="DN176" s="1067">
        <f t="shared" si="163"/>
        <v>0</v>
      </c>
      <c r="DO176" s="1067"/>
      <c r="DP176" s="1067"/>
      <c r="DQ176" s="1067"/>
      <c r="DR176" s="1067"/>
      <c r="DS176" s="1067"/>
      <c r="DT176" s="1067"/>
      <c r="DU176" s="1067"/>
      <c r="DV176" s="1067"/>
      <c r="DW176" s="1067"/>
      <c r="DX176" s="1067"/>
      <c r="DY176" s="1067"/>
      <c r="DZ176" s="1067"/>
      <c r="EA176" s="1067"/>
      <c r="EB176" s="1067"/>
      <c r="EC176" s="1067"/>
      <c r="ED176" s="1067"/>
    </row>
    <row r="177" spans="1:134" ht="47.25" customHeight="1" x14ac:dyDescent="0.25">
      <c r="A177" s="1560"/>
      <c r="B177" s="989" t="s">
        <v>4451</v>
      </c>
      <c r="C177" s="852" t="s">
        <v>4534</v>
      </c>
      <c r="D177" s="1019" t="s">
        <v>4538</v>
      </c>
      <c r="E177" s="995">
        <v>510</v>
      </c>
      <c r="F177" s="1097" t="s">
        <v>4536</v>
      </c>
      <c r="G177" s="1399">
        <v>260000000</v>
      </c>
      <c r="H177" s="1061">
        <f t="shared" si="143"/>
        <v>83465123</v>
      </c>
      <c r="I177" s="1061">
        <f t="shared" si="144"/>
        <v>3034877</v>
      </c>
      <c r="J177" s="1587">
        <v>1</v>
      </c>
      <c r="K177" s="1583">
        <v>1</v>
      </c>
      <c r="L177" s="1283">
        <v>100</v>
      </c>
      <c r="M177" s="1093">
        <v>63</v>
      </c>
      <c r="N177" s="1093">
        <v>30</v>
      </c>
      <c r="O177" s="1093">
        <v>19</v>
      </c>
      <c r="P177" s="1093">
        <v>58</v>
      </c>
      <c r="Q177" s="1093">
        <v>50</v>
      </c>
      <c r="R177" s="1093">
        <v>29</v>
      </c>
      <c r="S177" s="1097"/>
      <c r="T177" s="1097"/>
      <c r="U177" s="1097"/>
      <c r="V177" s="1097"/>
      <c r="W177" s="1097"/>
      <c r="X177" s="1097"/>
      <c r="Y177" s="1008">
        <f t="shared" si="173"/>
        <v>86500000</v>
      </c>
      <c r="Z177" s="944"/>
      <c r="AA177" s="1008"/>
      <c r="AB177" s="1008"/>
      <c r="AC177" s="1008"/>
      <c r="AD177" s="1008"/>
      <c r="AE177" s="1008">
        <f>85000000-16000000+16000000</f>
        <v>85000000</v>
      </c>
      <c r="AF177" s="1008"/>
      <c r="AG177" s="1008"/>
      <c r="AH177" s="1008"/>
      <c r="AI177" s="1008"/>
      <c r="AJ177" s="1008"/>
      <c r="AK177" s="1008"/>
      <c r="AL177" s="1008"/>
      <c r="AM177" s="1008"/>
      <c r="AN177" s="1008"/>
      <c r="AO177" s="1008">
        <v>1500000</v>
      </c>
      <c r="AP177" s="1008"/>
      <c r="AQ177" s="1008"/>
      <c r="AR177" s="1008"/>
      <c r="AS177" s="1008"/>
      <c r="AT177" s="1008"/>
      <c r="AU177" s="1011">
        <f t="shared" ref="AU177:AU195" si="178">+AV177/Y177</f>
        <v>1</v>
      </c>
      <c r="AV177" s="1008">
        <f t="shared" si="174"/>
        <v>86500000</v>
      </c>
      <c r="AW177" s="1008"/>
      <c r="AX177" s="1008"/>
      <c r="AY177" s="1008"/>
      <c r="AZ177" s="1008"/>
      <c r="BA177" s="1008"/>
      <c r="BB177" s="1008">
        <f>+'[14]JUNIO 2015'!$O$1705</f>
        <v>85000000</v>
      </c>
      <c r="BC177" s="1008"/>
      <c r="BD177" s="1008"/>
      <c r="BE177" s="1008"/>
      <c r="BF177" s="1008"/>
      <c r="BG177" s="1008"/>
      <c r="BH177" s="1008"/>
      <c r="BI177" s="1008"/>
      <c r="BJ177" s="1008"/>
      <c r="BK177" s="1008"/>
      <c r="BL177" s="1008">
        <f>+'[14]JUNIO 2015'!$Y$1705</f>
        <v>1500000</v>
      </c>
      <c r="BM177" s="1008"/>
      <c r="BN177" s="1008"/>
      <c r="BO177" s="1008"/>
      <c r="BP177" s="1008"/>
      <c r="BQ177" s="1011">
        <f t="shared" ref="BQ177:BQ195" si="179">1-AU177</f>
        <v>0</v>
      </c>
      <c r="BR177" s="1008">
        <f t="shared" si="175"/>
        <v>0</v>
      </c>
      <c r="BS177" s="1008">
        <f t="shared" ref="BS177:BS194" si="180">+Z177-AW177</f>
        <v>0</v>
      </c>
      <c r="BT177" s="1008">
        <f t="shared" ref="BT177:BT194" si="181">AA177-AX177</f>
        <v>0</v>
      </c>
      <c r="BU177" s="1008"/>
      <c r="BV177" s="1008">
        <f t="shared" si="162"/>
        <v>0</v>
      </c>
      <c r="BW177" s="1008">
        <f t="shared" si="162"/>
        <v>0</v>
      </c>
      <c r="BX177" s="1008">
        <f t="shared" ref="BX177:BY194" si="182">+AE177-BB177</f>
        <v>0</v>
      </c>
      <c r="BY177" s="1008">
        <f t="shared" si="182"/>
        <v>0</v>
      </c>
      <c r="BZ177" s="1008"/>
      <c r="CA177" s="1008">
        <f t="shared" ref="CA177:CI194" si="183">+AH177-BE177</f>
        <v>0</v>
      </c>
      <c r="CB177" s="1008">
        <f t="shared" si="183"/>
        <v>0</v>
      </c>
      <c r="CC177" s="1008">
        <f t="shared" si="183"/>
        <v>0</v>
      </c>
      <c r="CD177" s="1008">
        <f t="shared" si="183"/>
        <v>0</v>
      </c>
      <c r="CE177" s="1008">
        <f t="shared" si="183"/>
        <v>0</v>
      </c>
      <c r="CF177" s="1008">
        <f t="shared" si="183"/>
        <v>0</v>
      </c>
      <c r="CG177" s="1008">
        <f t="shared" si="183"/>
        <v>0</v>
      </c>
      <c r="CH177" s="1008">
        <f t="shared" si="183"/>
        <v>0</v>
      </c>
      <c r="CI177" s="1008">
        <f t="shared" si="183"/>
        <v>0</v>
      </c>
      <c r="CJ177" s="1008"/>
      <c r="CK177" s="1008">
        <f t="shared" ref="CK177:CL192" si="184">+AR177-BO177</f>
        <v>0</v>
      </c>
      <c r="CL177" s="1008">
        <f t="shared" si="184"/>
        <v>0</v>
      </c>
      <c r="CM177" s="1011">
        <f t="shared" ref="CM177:CM195" si="185">+CN177/Y177</f>
        <v>0.96491471676300578</v>
      </c>
      <c r="CN177" s="1008">
        <f t="shared" si="176"/>
        <v>83465123</v>
      </c>
      <c r="CO177" s="1008"/>
      <c r="CP177" s="1008"/>
      <c r="CQ177" s="1008"/>
      <c r="CR177" s="1008"/>
      <c r="CS177" s="1008"/>
      <c r="CT177" s="1008">
        <f>+'[15]JULIO 2015'!$H$1989+'[15]JULIO 2015'!$H$1995+'[15]JULIO 2015'!$H$1997</f>
        <v>83465123</v>
      </c>
      <c r="CU177" s="1008"/>
      <c r="CV177" s="1008"/>
      <c r="CW177" s="1008"/>
      <c r="CX177" s="1008"/>
      <c r="CY177" s="1008"/>
      <c r="CZ177" s="1008"/>
      <c r="DA177" s="1008"/>
      <c r="DB177" s="1008"/>
      <c r="DC177" s="1008"/>
      <c r="DD177" s="1008"/>
      <c r="DE177" s="1008"/>
      <c r="DF177" s="1008"/>
      <c r="DG177" s="1008"/>
      <c r="DH177" s="1008"/>
      <c r="DI177" s="1011">
        <f t="shared" ref="DI177:DI195" si="186">1-CM177</f>
        <v>3.5085283236994225E-2</v>
      </c>
      <c r="DJ177" s="1008">
        <f t="shared" si="177"/>
        <v>3034877</v>
      </c>
      <c r="DK177" s="1008"/>
      <c r="DL177" s="1008">
        <f>AA177-CP177</f>
        <v>0</v>
      </c>
      <c r="DM177" s="1008"/>
      <c r="DN177" s="1008">
        <f t="shared" si="163"/>
        <v>0</v>
      </c>
      <c r="DO177" s="1008">
        <f t="shared" si="163"/>
        <v>0</v>
      </c>
      <c r="DP177" s="1008">
        <f t="shared" si="163"/>
        <v>1534877</v>
      </c>
      <c r="DQ177" s="1008">
        <f t="shared" si="163"/>
        <v>0</v>
      </c>
      <c r="DR177" s="1008"/>
      <c r="DS177" s="1008">
        <f t="shared" ref="DS177:DT194" si="187">+AH177-CW177</f>
        <v>0</v>
      </c>
      <c r="DT177" s="1008">
        <f t="shared" si="187"/>
        <v>0</v>
      </c>
      <c r="DU177" s="1008"/>
      <c r="DV177" s="1008">
        <f t="shared" ref="DV177:DX194" si="188">AK177-CZ177</f>
        <v>0</v>
      </c>
      <c r="DW177" s="1008">
        <f t="shared" si="188"/>
        <v>0</v>
      </c>
      <c r="DX177" s="1008">
        <f t="shared" si="188"/>
        <v>0</v>
      </c>
      <c r="DY177" s="1008">
        <f t="shared" ref="DY177:ED194" si="189">+AN177-DC177</f>
        <v>0</v>
      </c>
      <c r="DZ177" s="1008">
        <f t="shared" si="189"/>
        <v>1500000</v>
      </c>
      <c r="EA177" s="1008">
        <f t="shared" si="189"/>
        <v>0</v>
      </c>
      <c r="EB177" s="1008">
        <f t="shared" si="189"/>
        <v>0</v>
      </c>
      <c r="EC177" s="1008">
        <f t="shared" si="189"/>
        <v>0</v>
      </c>
      <c r="ED177" s="1008">
        <f t="shared" si="189"/>
        <v>0</v>
      </c>
    </row>
    <row r="178" spans="1:134" ht="50.25" customHeight="1" x14ac:dyDescent="0.25">
      <c r="A178" s="1560"/>
      <c r="B178" s="989"/>
      <c r="C178" s="852" t="s">
        <v>4540</v>
      </c>
      <c r="D178" s="1019" t="s">
        <v>4539</v>
      </c>
      <c r="E178" s="995">
        <v>510</v>
      </c>
      <c r="F178" s="1097" t="s">
        <v>4536</v>
      </c>
      <c r="G178" s="1400"/>
      <c r="H178" s="1061">
        <f t="shared" si="143"/>
        <v>6147669</v>
      </c>
      <c r="I178" s="1061">
        <f t="shared" si="144"/>
        <v>3852331</v>
      </c>
      <c r="J178" s="1588"/>
      <c r="K178" s="1584"/>
      <c r="L178" s="1573"/>
      <c r="M178" s="1093">
        <v>0</v>
      </c>
      <c r="N178" s="1093">
        <v>14</v>
      </c>
      <c r="O178" s="1093">
        <v>0</v>
      </c>
      <c r="P178" s="1093">
        <v>0</v>
      </c>
      <c r="Q178" s="1093">
        <v>35</v>
      </c>
      <c r="R178" s="1093">
        <v>0</v>
      </c>
      <c r="S178" s="1097"/>
      <c r="T178" s="1097"/>
      <c r="U178" s="1097"/>
      <c r="V178" s="1097"/>
      <c r="W178" s="1097"/>
      <c r="X178" s="1097"/>
      <c r="Y178" s="1008">
        <f t="shared" si="173"/>
        <v>10000000</v>
      </c>
      <c r="Z178" s="944"/>
      <c r="AA178" s="1008"/>
      <c r="AB178" s="1008"/>
      <c r="AC178" s="1008">
        <f>16000000-16000000</f>
        <v>0</v>
      </c>
      <c r="AD178" s="1008"/>
      <c r="AE178" s="1008">
        <f>16000000-16000000</f>
        <v>0</v>
      </c>
      <c r="AF178" s="1008"/>
      <c r="AG178" s="1008"/>
      <c r="AH178" s="1008"/>
      <c r="AI178" s="1008"/>
      <c r="AJ178" s="1008"/>
      <c r="AK178" s="1008"/>
      <c r="AL178" s="1008"/>
      <c r="AM178" s="1008"/>
      <c r="AN178" s="1008"/>
      <c r="AO178" s="1008">
        <v>10000000</v>
      </c>
      <c r="AP178" s="1008"/>
      <c r="AQ178" s="1008"/>
      <c r="AR178" s="1008"/>
      <c r="AS178" s="1008"/>
      <c r="AU178" s="1011">
        <f t="shared" si="178"/>
        <v>0.90276690000000004</v>
      </c>
      <c r="AV178" s="1008">
        <f t="shared" si="174"/>
        <v>9027669</v>
      </c>
      <c r="AW178" s="1008"/>
      <c r="AX178" s="1008"/>
      <c r="AY178" s="1008"/>
      <c r="AZ178" s="1008"/>
      <c r="BA178" s="1008"/>
      <c r="BB178" s="1008"/>
      <c r="BC178" s="1008"/>
      <c r="BD178" s="1008"/>
      <c r="BE178" s="1008"/>
      <c r="BF178" s="1008"/>
      <c r="BG178" s="1008"/>
      <c r="BH178" s="1008"/>
      <c r="BI178" s="1008"/>
      <c r="BJ178" s="1008"/>
      <c r="BK178" s="1008"/>
      <c r="BL178" s="1008">
        <f>+'[18]OCTUBRE 2015'!$Y$3191</f>
        <v>9027669</v>
      </c>
      <c r="BM178" s="1008"/>
      <c r="BN178" s="1008"/>
      <c r="BO178" s="1008"/>
      <c r="BP178" s="1008"/>
      <c r="BQ178" s="1011">
        <f t="shared" si="179"/>
        <v>9.7233099999999961E-2</v>
      </c>
      <c r="BR178" s="1008">
        <f t="shared" si="175"/>
        <v>972331</v>
      </c>
      <c r="BS178" s="1008">
        <f t="shared" si="180"/>
        <v>0</v>
      </c>
      <c r="BT178" s="1008">
        <f t="shared" si="181"/>
        <v>0</v>
      </c>
      <c r="BU178" s="1008"/>
      <c r="BV178" s="1008">
        <f t="shared" si="162"/>
        <v>0</v>
      </c>
      <c r="BW178" s="1008">
        <f t="shared" si="162"/>
        <v>0</v>
      </c>
      <c r="BX178" s="1008">
        <f t="shared" si="182"/>
        <v>0</v>
      </c>
      <c r="BY178" s="1008">
        <f t="shared" si="182"/>
        <v>0</v>
      </c>
      <c r="BZ178" s="1008"/>
      <c r="CA178" s="1008">
        <f t="shared" si="183"/>
        <v>0</v>
      </c>
      <c r="CB178" s="1008">
        <f t="shared" si="183"/>
        <v>0</v>
      </c>
      <c r="CC178" s="1008">
        <f t="shared" si="183"/>
        <v>0</v>
      </c>
      <c r="CD178" s="1008">
        <f t="shared" si="183"/>
        <v>0</v>
      </c>
      <c r="CE178" s="1008">
        <f t="shared" si="183"/>
        <v>0</v>
      </c>
      <c r="CF178" s="1008">
        <f t="shared" si="183"/>
        <v>0</v>
      </c>
      <c r="CG178" s="1008">
        <f t="shared" si="183"/>
        <v>0</v>
      </c>
      <c r="CH178" s="1008">
        <f t="shared" si="183"/>
        <v>972331</v>
      </c>
      <c r="CI178" s="1008">
        <f t="shared" si="183"/>
        <v>0</v>
      </c>
      <c r="CJ178" s="1008"/>
      <c r="CK178" s="1008">
        <f t="shared" si="184"/>
        <v>0</v>
      </c>
      <c r="CL178" s="1008">
        <f t="shared" si="184"/>
        <v>0</v>
      </c>
      <c r="CM178" s="1011">
        <f t="shared" si="185"/>
        <v>0.61476690000000001</v>
      </c>
      <c r="CN178" s="1008">
        <f t="shared" si="176"/>
        <v>6147669</v>
      </c>
      <c r="CO178" s="1008"/>
      <c r="CP178" s="1008"/>
      <c r="CQ178" s="1008"/>
      <c r="CR178" s="1008"/>
      <c r="CS178" s="1008"/>
      <c r="CT178" s="1008"/>
      <c r="CU178" s="1008"/>
      <c r="CV178" s="1008"/>
      <c r="CW178" s="1008"/>
      <c r="CX178" s="1008"/>
      <c r="CY178" s="1008"/>
      <c r="CZ178" s="1008"/>
      <c r="DA178" s="1008"/>
      <c r="DB178" s="1008"/>
      <c r="DC178" s="1008"/>
      <c r="DD178" s="1008">
        <f>+'[18]OCTUBRE 2015'!$H$3189</f>
        <v>6147669</v>
      </c>
      <c r="DE178" s="1008"/>
      <c r="DF178" s="1008"/>
      <c r="DG178" s="1008"/>
      <c r="DH178" s="1008"/>
      <c r="DI178" s="1011">
        <f t="shared" si="186"/>
        <v>0.38523309999999999</v>
      </c>
      <c r="DJ178" s="1008">
        <f t="shared" si="177"/>
        <v>3852331</v>
      </c>
      <c r="DK178" s="1008"/>
      <c r="DL178" s="1008"/>
      <c r="DM178" s="1008"/>
      <c r="DN178" s="1008">
        <f t="shared" si="163"/>
        <v>0</v>
      </c>
      <c r="DO178" s="1008">
        <f t="shared" si="163"/>
        <v>0</v>
      </c>
      <c r="DP178" s="1008">
        <f t="shared" si="163"/>
        <v>0</v>
      </c>
      <c r="DQ178" s="1008">
        <f t="shared" si="163"/>
        <v>0</v>
      </c>
      <c r="DR178" s="1008"/>
      <c r="DS178" s="1008">
        <f t="shared" si="187"/>
        <v>0</v>
      </c>
      <c r="DT178" s="1008">
        <f t="shared" si="187"/>
        <v>0</v>
      </c>
      <c r="DU178" s="1008"/>
      <c r="DV178" s="1008">
        <f t="shared" si="188"/>
        <v>0</v>
      </c>
      <c r="DW178" s="1008">
        <f t="shared" si="188"/>
        <v>0</v>
      </c>
      <c r="DX178" s="1008">
        <f t="shared" si="188"/>
        <v>0</v>
      </c>
      <c r="DY178" s="1008">
        <f t="shared" si="189"/>
        <v>0</v>
      </c>
      <c r="DZ178" s="1008">
        <f t="shared" si="189"/>
        <v>3852331</v>
      </c>
      <c r="EA178" s="1008">
        <f t="shared" si="189"/>
        <v>0</v>
      </c>
      <c r="EB178" s="1008">
        <f t="shared" si="189"/>
        <v>0</v>
      </c>
      <c r="EC178" s="1008">
        <f t="shared" si="189"/>
        <v>0</v>
      </c>
      <c r="ED178" s="1008">
        <f t="shared" si="189"/>
        <v>0</v>
      </c>
    </row>
    <row r="179" spans="1:134" ht="41.25" customHeight="1" x14ac:dyDescent="0.25">
      <c r="A179" s="1560"/>
      <c r="B179" s="989"/>
      <c r="C179" s="852" t="s">
        <v>4541</v>
      </c>
      <c r="D179" s="1019" t="s">
        <v>4696</v>
      </c>
      <c r="E179" s="995">
        <v>510</v>
      </c>
      <c r="F179" s="1097" t="s">
        <v>4669</v>
      </c>
      <c r="G179" s="1400"/>
      <c r="H179" s="1061">
        <f t="shared" si="143"/>
        <v>0</v>
      </c>
      <c r="I179" s="1061">
        <f t="shared" si="144"/>
        <v>8000000</v>
      </c>
      <c r="J179" s="1588"/>
      <c r="K179" s="1584"/>
      <c r="L179" s="1573"/>
      <c r="M179" s="1093">
        <v>0</v>
      </c>
      <c r="N179" s="1093">
        <v>0</v>
      </c>
      <c r="O179" s="1093">
        <v>0</v>
      </c>
      <c r="P179" s="1093">
        <v>0</v>
      </c>
      <c r="Q179" s="1093">
        <v>55</v>
      </c>
      <c r="R179" s="1093">
        <v>0</v>
      </c>
      <c r="S179" s="1097"/>
      <c r="T179" s="1097"/>
      <c r="U179" s="1097"/>
      <c r="V179" s="1097"/>
      <c r="W179" s="1097"/>
      <c r="X179" s="1097"/>
      <c r="Y179" s="1008">
        <f t="shared" si="173"/>
        <v>8000000</v>
      </c>
      <c r="Z179" s="944"/>
      <c r="AA179" s="1008"/>
      <c r="AB179" s="1008"/>
      <c r="AC179" s="1008"/>
      <c r="AD179" s="1008"/>
      <c r="AE179" s="1008">
        <v>8000000</v>
      </c>
      <c r="AF179" s="1008"/>
      <c r="AG179" s="1008"/>
      <c r="AH179" s="1008"/>
      <c r="AI179" s="1008"/>
      <c r="AJ179" s="1008"/>
      <c r="AK179" s="1008"/>
      <c r="AL179" s="1008"/>
      <c r="AM179" s="1008"/>
      <c r="AN179" s="1008"/>
      <c r="AO179" s="1008"/>
      <c r="AP179" s="1008"/>
      <c r="AQ179" s="1008"/>
      <c r="AR179" s="1008"/>
      <c r="AS179" s="1008"/>
      <c r="AU179" s="1011">
        <f t="shared" si="178"/>
        <v>0</v>
      </c>
      <c r="AV179" s="1008">
        <f t="shared" si="174"/>
        <v>0</v>
      </c>
      <c r="AW179" s="1008"/>
      <c r="AX179" s="1008"/>
      <c r="AY179" s="1008"/>
      <c r="AZ179" s="1008"/>
      <c r="BA179" s="1008"/>
      <c r="BB179" s="1008"/>
      <c r="BC179" s="1008"/>
      <c r="BD179" s="1008"/>
      <c r="BE179" s="1008"/>
      <c r="BF179" s="1008"/>
      <c r="BG179" s="1008"/>
      <c r="BH179" s="1008"/>
      <c r="BI179" s="1008"/>
      <c r="BJ179" s="1008"/>
      <c r="BK179" s="1008"/>
      <c r="BL179" s="1008"/>
      <c r="BM179" s="1008"/>
      <c r="BN179" s="1008"/>
      <c r="BO179" s="1008"/>
      <c r="BP179" s="1008"/>
      <c r="BQ179" s="1011">
        <f t="shared" si="179"/>
        <v>1</v>
      </c>
      <c r="BR179" s="1008">
        <f t="shared" si="175"/>
        <v>8000000</v>
      </c>
      <c r="BS179" s="1008">
        <f t="shared" si="180"/>
        <v>0</v>
      </c>
      <c r="BT179" s="1008">
        <f t="shared" si="181"/>
        <v>0</v>
      </c>
      <c r="BU179" s="1008"/>
      <c r="BV179" s="1008">
        <f t="shared" si="162"/>
        <v>0</v>
      </c>
      <c r="BW179" s="1008">
        <f t="shared" si="162"/>
        <v>0</v>
      </c>
      <c r="BX179" s="1008">
        <f t="shared" si="182"/>
        <v>8000000</v>
      </c>
      <c r="BY179" s="1008">
        <f t="shared" si="182"/>
        <v>0</v>
      </c>
      <c r="BZ179" s="1008"/>
      <c r="CA179" s="1008">
        <f t="shared" si="183"/>
        <v>0</v>
      </c>
      <c r="CB179" s="1008">
        <f t="shared" si="183"/>
        <v>0</v>
      </c>
      <c r="CC179" s="1008">
        <f t="shared" si="183"/>
        <v>0</v>
      </c>
      <c r="CD179" s="1008">
        <f t="shared" si="183"/>
        <v>0</v>
      </c>
      <c r="CE179" s="1008">
        <f t="shared" si="183"/>
        <v>0</v>
      </c>
      <c r="CF179" s="1008">
        <f t="shared" si="183"/>
        <v>0</v>
      </c>
      <c r="CG179" s="1008">
        <f t="shared" si="183"/>
        <v>0</v>
      </c>
      <c r="CH179" s="1008">
        <f t="shared" si="183"/>
        <v>0</v>
      </c>
      <c r="CI179" s="1008">
        <f t="shared" si="183"/>
        <v>0</v>
      </c>
      <c r="CJ179" s="1008"/>
      <c r="CK179" s="1008">
        <f t="shared" si="184"/>
        <v>0</v>
      </c>
      <c r="CL179" s="1008">
        <f t="shared" si="184"/>
        <v>0</v>
      </c>
      <c r="CM179" s="1011">
        <f t="shared" si="185"/>
        <v>0</v>
      </c>
      <c r="CN179" s="1008">
        <f t="shared" si="176"/>
        <v>0</v>
      </c>
      <c r="CO179" s="1008"/>
      <c r="CP179" s="1008"/>
      <c r="CQ179" s="1008"/>
      <c r="CR179" s="1008"/>
      <c r="CS179" s="1008"/>
      <c r="CT179" s="1008"/>
      <c r="CU179" s="1008"/>
      <c r="CV179" s="1008"/>
      <c r="CW179" s="1008"/>
      <c r="CX179" s="1008"/>
      <c r="CY179" s="1008"/>
      <c r="CZ179" s="1008"/>
      <c r="DA179" s="1008"/>
      <c r="DB179" s="1008"/>
      <c r="DC179" s="1008"/>
      <c r="DD179" s="1008"/>
      <c r="DE179" s="1008"/>
      <c r="DF179" s="1008"/>
      <c r="DG179" s="1008"/>
      <c r="DH179" s="1008"/>
      <c r="DI179" s="1011">
        <f t="shared" si="186"/>
        <v>1</v>
      </c>
      <c r="DJ179" s="1008">
        <f t="shared" si="177"/>
        <v>8000000</v>
      </c>
      <c r="DK179" s="1008"/>
      <c r="DL179" s="1008"/>
      <c r="DM179" s="1008"/>
      <c r="DN179" s="1008">
        <f t="shared" si="163"/>
        <v>0</v>
      </c>
      <c r="DO179" s="1008">
        <f t="shared" si="163"/>
        <v>0</v>
      </c>
      <c r="DP179" s="1008">
        <f t="shared" si="163"/>
        <v>8000000</v>
      </c>
      <c r="DQ179" s="1008">
        <f t="shared" si="163"/>
        <v>0</v>
      </c>
      <c r="DR179" s="1008"/>
      <c r="DS179" s="1008">
        <f t="shared" si="187"/>
        <v>0</v>
      </c>
      <c r="DT179" s="1008">
        <f t="shared" si="187"/>
        <v>0</v>
      </c>
      <c r="DU179" s="1008"/>
      <c r="DV179" s="1008">
        <f t="shared" si="188"/>
        <v>0</v>
      </c>
      <c r="DW179" s="1008">
        <f t="shared" si="188"/>
        <v>0</v>
      </c>
      <c r="DX179" s="1008">
        <f t="shared" si="188"/>
        <v>0</v>
      </c>
      <c r="DY179" s="1008">
        <f t="shared" si="189"/>
        <v>0</v>
      </c>
      <c r="DZ179" s="1008">
        <f t="shared" si="189"/>
        <v>0</v>
      </c>
      <c r="EA179" s="1008">
        <f t="shared" si="189"/>
        <v>0</v>
      </c>
      <c r="EB179" s="1008">
        <f t="shared" si="189"/>
        <v>0</v>
      </c>
      <c r="EC179" s="1008">
        <f t="shared" si="189"/>
        <v>0</v>
      </c>
      <c r="ED179" s="1008">
        <f t="shared" si="189"/>
        <v>0</v>
      </c>
    </row>
    <row r="180" spans="1:134" s="203" customFormat="1" ht="51" customHeight="1" x14ac:dyDescent="0.25">
      <c r="A180" s="1560"/>
      <c r="B180" s="989"/>
      <c r="C180" s="1081" t="s">
        <v>4542</v>
      </c>
      <c r="D180" s="1019" t="s">
        <v>4535</v>
      </c>
      <c r="E180" s="997">
        <v>510</v>
      </c>
      <c r="F180" s="1097" t="s">
        <v>4536</v>
      </c>
      <c r="G180" s="1400"/>
      <c r="H180" s="1061">
        <f t="shared" si="143"/>
        <v>0</v>
      </c>
      <c r="I180" s="1061">
        <f t="shared" si="144"/>
        <v>0</v>
      </c>
      <c r="J180" s="1588"/>
      <c r="K180" s="1584"/>
      <c r="L180" s="1573"/>
      <c r="M180" s="1075">
        <v>0</v>
      </c>
      <c r="N180" s="1075">
        <v>20</v>
      </c>
      <c r="O180" s="1075">
        <v>0</v>
      </c>
      <c r="P180" s="1075"/>
      <c r="Q180" s="1075"/>
      <c r="R180" s="1075"/>
      <c r="S180" s="1097"/>
      <c r="T180" s="1097"/>
      <c r="U180" s="1097"/>
      <c r="V180" s="1097"/>
      <c r="W180" s="1097"/>
      <c r="X180" s="1097"/>
      <c r="Y180" s="1067">
        <f t="shared" si="173"/>
        <v>0</v>
      </c>
      <c r="Z180" s="149"/>
      <c r="AA180" s="1067"/>
      <c r="AB180" s="1067"/>
      <c r="AC180" s="1067">
        <f>16000000-16000000</f>
        <v>0</v>
      </c>
      <c r="AD180" s="1067"/>
      <c r="AE180" s="1067"/>
      <c r="AF180" s="1067"/>
      <c r="AG180" s="1067"/>
      <c r="AH180" s="1067"/>
      <c r="AI180" s="1067"/>
      <c r="AJ180" s="1067"/>
      <c r="AK180" s="1067"/>
      <c r="AL180" s="1067"/>
      <c r="AM180" s="1067"/>
      <c r="AN180" s="1067"/>
      <c r="AO180" s="1067"/>
      <c r="AP180" s="1067"/>
      <c r="AQ180" s="1067"/>
      <c r="AR180" s="1067"/>
      <c r="AS180" s="1067"/>
      <c r="AU180" s="1082" t="e">
        <f t="shared" si="178"/>
        <v>#DIV/0!</v>
      </c>
      <c r="AV180" s="1067">
        <f t="shared" si="174"/>
        <v>0</v>
      </c>
      <c r="AW180" s="1067"/>
      <c r="AX180" s="1067"/>
      <c r="AY180" s="1067"/>
      <c r="AZ180" s="1067"/>
      <c r="BA180" s="1067"/>
      <c r="BB180" s="1067"/>
      <c r="BC180" s="1067"/>
      <c r="BD180" s="1067"/>
      <c r="BE180" s="1067"/>
      <c r="BF180" s="1067"/>
      <c r="BG180" s="1067"/>
      <c r="BH180" s="1067"/>
      <c r="BI180" s="1067"/>
      <c r="BJ180" s="1067"/>
      <c r="BK180" s="1067"/>
      <c r="BL180" s="1067"/>
      <c r="BM180" s="1067"/>
      <c r="BN180" s="1067"/>
      <c r="BO180" s="1067"/>
      <c r="BP180" s="1067"/>
      <c r="BQ180" s="1082" t="e">
        <f t="shared" si="179"/>
        <v>#DIV/0!</v>
      </c>
      <c r="BR180" s="1067">
        <f t="shared" si="175"/>
        <v>0</v>
      </c>
      <c r="BS180" s="1067">
        <f t="shared" si="180"/>
        <v>0</v>
      </c>
      <c r="BT180" s="1067">
        <f t="shared" si="181"/>
        <v>0</v>
      </c>
      <c r="BU180" s="1067"/>
      <c r="BV180" s="1067">
        <f t="shared" si="162"/>
        <v>0</v>
      </c>
      <c r="BW180" s="1067">
        <f t="shared" si="162"/>
        <v>0</v>
      </c>
      <c r="BX180" s="1067">
        <f t="shared" si="182"/>
        <v>0</v>
      </c>
      <c r="BY180" s="1067">
        <f t="shared" si="182"/>
        <v>0</v>
      </c>
      <c r="BZ180" s="1067"/>
      <c r="CA180" s="1067">
        <f t="shared" si="183"/>
        <v>0</v>
      </c>
      <c r="CB180" s="1067">
        <f t="shared" si="183"/>
        <v>0</v>
      </c>
      <c r="CC180" s="1067">
        <f t="shared" si="183"/>
        <v>0</v>
      </c>
      <c r="CD180" s="1067">
        <f t="shared" si="183"/>
        <v>0</v>
      </c>
      <c r="CE180" s="1067">
        <f t="shared" si="183"/>
        <v>0</v>
      </c>
      <c r="CF180" s="1067">
        <f t="shared" si="183"/>
        <v>0</v>
      </c>
      <c r="CG180" s="1067">
        <f t="shared" si="183"/>
        <v>0</v>
      </c>
      <c r="CH180" s="1067">
        <f t="shared" si="183"/>
        <v>0</v>
      </c>
      <c r="CI180" s="1067">
        <f t="shared" si="183"/>
        <v>0</v>
      </c>
      <c r="CJ180" s="1067"/>
      <c r="CK180" s="1067">
        <f t="shared" si="184"/>
        <v>0</v>
      </c>
      <c r="CL180" s="1067">
        <f t="shared" si="184"/>
        <v>0</v>
      </c>
      <c r="CM180" s="1082" t="e">
        <f t="shared" si="185"/>
        <v>#DIV/0!</v>
      </c>
      <c r="CN180" s="1067">
        <f t="shared" si="176"/>
        <v>0</v>
      </c>
      <c r="CO180" s="1067"/>
      <c r="CP180" s="1067"/>
      <c r="CQ180" s="1067"/>
      <c r="CR180" s="1067"/>
      <c r="CS180" s="1067"/>
      <c r="CT180" s="1067"/>
      <c r="CU180" s="1067"/>
      <c r="CV180" s="1067"/>
      <c r="CW180" s="1067"/>
      <c r="CX180" s="1067"/>
      <c r="CY180" s="1067"/>
      <c r="CZ180" s="1067"/>
      <c r="DA180" s="1067"/>
      <c r="DB180" s="1067"/>
      <c r="DC180" s="1067"/>
      <c r="DD180" s="1067"/>
      <c r="DE180" s="1067"/>
      <c r="DF180" s="1067"/>
      <c r="DG180" s="1067"/>
      <c r="DH180" s="1067"/>
      <c r="DI180" s="1082" t="e">
        <f t="shared" si="186"/>
        <v>#DIV/0!</v>
      </c>
      <c r="DJ180" s="1067">
        <f t="shared" si="177"/>
        <v>0</v>
      </c>
      <c r="DK180" s="1067"/>
      <c r="DL180" s="1067"/>
      <c r="DM180" s="1067"/>
      <c r="DN180" s="1067">
        <f t="shared" si="163"/>
        <v>0</v>
      </c>
      <c r="DO180" s="1067">
        <f t="shared" si="163"/>
        <v>0</v>
      </c>
      <c r="DP180" s="1067">
        <f t="shared" si="163"/>
        <v>0</v>
      </c>
      <c r="DQ180" s="1067">
        <f t="shared" si="163"/>
        <v>0</v>
      </c>
      <c r="DR180" s="1067"/>
      <c r="DS180" s="1067">
        <f t="shared" si="187"/>
        <v>0</v>
      </c>
      <c r="DT180" s="1067">
        <f t="shared" si="187"/>
        <v>0</v>
      </c>
      <c r="DU180" s="1067"/>
      <c r="DV180" s="1067">
        <f t="shared" si="188"/>
        <v>0</v>
      </c>
      <c r="DW180" s="1067">
        <f t="shared" si="188"/>
        <v>0</v>
      </c>
      <c r="DX180" s="1067">
        <f t="shared" si="188"/>
        <v>0</v>
      </c>
      <c r="DY180" s="1067">
        <f t="shared" si="189"/>
        <v>0</v>
      </c>
      <c r="DZ180" s="1067">
        <f t="shared" si="189"/>
        <v>0</v>
      </c>
      <c r="EA180" s="1067">
        <f t="shared" si="189"/>
        <v>0</v>
      </c>
      <c r="EB180" s="1067">
        <f t="shared" si="189"/>
        <v>0</v>
      </c>
      <c r="EC180" s="1067">
        <f t="shared" si="189"/>
        <v>0</v>
      </c>
      <c r="ED180" s="1067">
        <f t="shared" si="189"/>
        <v>0</v>
      </c>
    </row>
    <row r="181" spans="1:134" s="203" customFormat="1" ht="48.75" customHeight="1" x14ac:dyDescent="0.25">
      <c r="A181" s="1560"/>
      <c r="B181" s="989"/>
      <c r="C181" s="1081" t="s">
        <v>4543</v>
      </c>
      <c r="D181" s="1019" t="s">
        <v>4691</v>
      </c>
      <c r="E181" s="997">
        <v>510</v>
      </c>
      <c r="F181" s="1097" t="s">
        <v>4536</v>
      </c>
      <c r="G181" s="1400"/>
      <c r="H181" s="1061">
        <f t="shared" si="143"/>
        <v>0</v>
      </c>
      <c r="I181" s="1061">
        <f t="shared" si="144"/>
        <v>0</v>
      </c>
      <c r="J181" s="1588"/>
      <c r="K181" s="1584"/>
      <c r="L181" s="1573"/>
      <c r="M181" s="1075">
        <v>0</v>
      </c>
      <c r="N181" s="1075">
        <v>0</v>
      </c>
      <c r="O181" s="1075">
        <v>0</v>
      </c>
      <c r="P181" s="1075"/>
      <c r="Q181" s="1075"/>
      <c r="R181" s="1075"/>
      <c r="S181" s="1097"/>
      <c r="T181" s="1097"/>
      <c r="U181" s="1097"/>
      <c r="V181" s="1097"/>
      <c r="W181" s="1097"/>
      <c r="X181" s="1097"/>
      <c r="Y181" s="1067">
        <f t="shared" si="173"/>
        <v>0</v>
      </c>
      <c r="Z181" s="149"/>
      <c r="AA181" s="1067"/>
      <c r="AB181" s="1067"/>
      <c r="AC181" s="1067">
        <f>5000000-5000000</f>
        <v>0</v>
      </c>
      <c r="AD181" s="1067"/>
      <c r="AE181" s="1067"/>
      <c r="AF181" s="1067"/>
      <c r="AG181" s="1067"/>
      <c r="AH181" s="1067"/>
      <c r="AI181" s="1067"/>
      <c r="AJ181" s="1067"/>
      <c r="AK181" s="1067"/>
      <c r="AL181" s="1067"/>
      <c r="AM181" s="1067"/>
      <c r="AN181" s="1067"/>
      <c r="AO181" s="1067"/>
      <c r="AP181" s="1067"/>
      <c r="AQ181" s="1067"/>
      <c r="AR181" s="1067"/>
      <c r="AS181" s="1067"/>
      <c r="AU181" s="1082" t="e">
        <f t="shared" si="178"/>
        <v>#DIV/0!</v>
      </c>
      <c r="AV181" s="1067">
        <f t="shared" si="174"/>
        <v>0</v>
      </c>
      <c r="AW181" s="1067"/>
      <c r="AX181" s="1067"/>
      <c r="AY181" s="1067"/>
      <c r="AZ181" s="1067"/>
      <c r="BA181" s="1067"/>
      <c r="BB181" s="1067"/>
      <c r="BC181" s="1067"/>
      <c r="BD181" s="1067"/>
      <c r="BE181" s="1067"/>
      <c r="BF181" s="1067"/>
      <c r="BG181" s="1067"/>
      <c r="BH181" s="1067"/>
      <c r="BI181" s="1067"/>
      <c r="BJ181" s="1067"/>
      <c r="BK181" s="1067"/>
      <c r="BL181" s="1067"/>
      <c r="BM181" s="1067"/>
      <c r="BN181" s="1067"/>
      <c r="BO181" s="1067"/>
      <c r="BP181" s="1067"/>
      <c r="BQ181" s="1082" t="e">
        <f t="shared" si="179"/>
        <v>#DIV/0!</v>
      </c>
      <c r="BR181" s="1067">
        <f t="shared" si="175"/>
        <v>0</v>
      </c>
      <c r="BS181" s="1067">
        <f t="shared" si="180"/>
        <v>0</v>
      </c>
      <c r="BT181" s="1067">
        <f t="shared" si="181"/>
        <v>0</v>
      </c>
      <c r="BU181" s="1067"/>
      <c r="BV181" s="1067">
        <f t="shared" si="162"/>
        <v>0</v>
      </c>
      <c r="BW181" s="1067">
        <f t="shared" si="162"/>
        <v>0</v>
      </c>
      <c r="BX181" s="1067">
        <f t="shared" si="182"/>
        <v>0</v>
      </c>
      <c r="BY181" s="1067">
        <f t="shared" si="182"/>
        <v>0</v>
      </c>
      <c r="BZ181" s="1067"/>
      <c r="CA181" s="1067">
        <f t="shared" si="183"/>
        <v>0</v>
      </c>
      <c r="CB181" s="1067">
        <f t="shared" si="183"/>
        <v>0</v>
      </c>
      <c r="CC181" s="1067">
        <f t="shared" si="183"/>
        <v>0</v>
      </c>
      <c r="CD181" s="1067">
        <f t="shared" si="183"/>
        <v>0</v>
      </c>
      <c r="CE181" s="1067">
        <f t="shared" si="183"/>
        <v>0</v>
      </c>
      <c r="CF181" s="1067">
        <f t="shared" si="183"/>
        <v>0</v>
      </c>
      <c r="CG181" s="1067">
        <f t="shared" si="183"/>
        <v>0</v>
      </c>
      <c r="CH181" s="1067">
        <f t="shared" si="183"/>
        <v>0</v>
      </c>
      <c r="CI181" s="1067">
        <f t="shared" si="183"/>
        <v>0</v>
      </c>
      <c r="CJ181" s="1067"/>
      <c r="CK181" s="1067">
        <f t="shared" si="184"/>
        <v>0</v>
      </c>
      <c r="CL181" s="1067">
        <f t="shared" si="184"/>
        <v>0</v>
      </c>
      <c r="CM181" s="1082" t="e">
        <f t="shared" si="185"/>
        <v>#DIV/0!</v>
      </c>
      <c r="CN181" s="1067">
        <f t="shared" si="176"/>
        <v>0</v>
      </c>
      <c r="CO181" s="1067"/>
      <c r="CP181" s="1067"/>
      <c r="CQ181" s="1067"/>
      <c r="CR181" s="1067"/>
      <c r="CS181" s="1067"/>
      <c r="CT181" s="1067"/>
      <c r="CU181" s="1067"/>
      <c r="CV181" s="1067"/>
      <c r="CW181" s="1067"/>
      <c r="CX181" s="1067"/>
      <c r="CY181" s="1067"/>
      <c r="CZ181" s="1067"/>
      <c r="DA181" s="1067"/>
      <c r="DB181" s="1067"/>
      <c r="DC181" s="1067"/>
      <c r="DD181" s="1067"/>
      <c r="DE181" s="1067"/>
      <c r="DF181" s="1067"/>
      <c r="DG181" s="1067"/>
      <c r="DH181" s="1067"/>
      <c r="DI181" s="1082" t="e">
        <f t="shared" si="186"/>
        <v>#DIV/0!</v>
      </c>
      <c r="DJ181" s="1067">
        <f t="shared" si="177"/>
        <v>0</v>
      </c>
      <c r="DK181" s="1067"/>
      <c r="DL181" s="1067"/>
      <c r="DM181" s="1067"/>
      <c r="DN181" s="1067">
        <f t="shared" si="163"/>
        <v>0</v>
      </c>
      <c r="DO181" s="1067">
        <f t="shared" si="163"/>
        <v>0</v>
      </c>
      <c r="DP181" s="1067">
        <f t="shared" si="163"/>
        <v>0</v>
      </c>
      <c r="DQ181" s="1067">
        <f t="shared" si="163"/>
        <v>0</v>
      </c>
      <c r="DR181" s="1067"/>
      <c r="DS181" s="1067">
        <f t="shared" si="187"/>
        <v>0</v>
      </c>
      <c r="DT181" s="1067">
        <f t="shared" si="187"/>
        <v>0</v>
      </c>
      <c r="DU181" s="1067"/>
      <c r="DV181" s="1067">
        <f t="shared" si="188"/>
        <v>0</v>
      </c>
      <c r="DW181" s="1067">
        <f t="shared" si="188"/>
        <v>0</v>
      </c>
      <c r="DX181" s="1067">
        <f t="shared" si="188"/>
        <v>0</v>
      </c>
      <c r="DY181" s="1067">
        <f t="shared" si="189"/>
        <v>0</v>
      </c>
      <c r="DZ181" s="1067">
        <f t="shared" si="189"/>
        <v>0</v>
      </c>
      <c r="EA181" s="1067">
        <f t="shared" si="189"/>
        <v>0</v>
      </c>
      <c r="EB181" s="1067">
        <f t="shared" si="189"/>
        <v>0</v>
      </c>
      <c r="EC181" s="1067">
        <f t="shared" si="189"/>
        <v>0</v>
      </c>
      <c r="ED181" s="1067">
        <f t="shared" si="189"/>
        <v>0</v>
      </c>
    </row>
    <row r="182" spans="1:134" ht="49.5" customHeight="1" x14ac:dyDescent="0.25">
      <c r="A182" s="1560"/>
      <c r="B182" s="989"/>
      <c r="C182" s="852" t="s">
        <v>4544</v>
      </c>
      <c r="D182" s="1019" t="s">
        <v>4692</v>
      </c>
      <c r="E182" s="995">
        <v>510</v>
      </c>
      <c r="F182" s="1097" t="s">
        <v>4536</v>
      </c>
      <c r="G182" s="1400"/>
      <c r="H182" s="1061">
        <f t="shared" si="143"/>
        <v>0</v>
      </c>
      <c r="I182" s="1061">
        <f t="shared" si="144"/>
        <v>8000000</v>
      </c>
      <c r="J182" s="1588"/>
      <c r="K182" s="1584"/>
      <c r="L182" s="1573"/>
      <c r="M182" s="1093">
        <v>0</v>
      </c>
      <c r="N182" s="1093">
        <v>0</v>
      </c>
      <c r="O182" s="1093">
        <v>0</v>
      </c>
      <c r="P182" s="1093">
        <v>0</v>
      </c>
      <c r="Q182" s="1093">
        <v>0</v>
      </c>
      <c r="R182" s="1093">
        <v>0</v>
      </c>
      <c r="S182" s="1097"/>
      <c r="T182" s="1097"/>
      <c r="U182" s="1097"/>
      <c r="V182" s="1097"/>
      <c r="W182" s="1097"/>
      <c r="X182" s="1097"/>
      <c r="Y182" s="1008">
        <f t="shared" si="173"/>
        <v>8000000</v>
      </c>
      <c r="Z182" s="944"/>
      <c r="AA182" s="1008"/>
      <c r="AB182" s="1008"/>
      <c r="AC182" s="1008">
        <f>8000000-8000000</f>
        <v>0</v>
      </c>
      <c r="AD182" s="1008"/>
      <c r="AE182" s="1008"/>
      <c r="AF182" s="1008"/>
      <c r="AG182" s="1008"/>
      <c r="AH182" s="1008"/>
      <c r="AI182" s="1008"/>
      <c r="AJ182" s="1008"/>
      <c r="AK182" s="1008"/>
      <c r="AL182" s="1008"/>
      <c r="AM182" s="1008"/>
      <c r="AN182" s="1008"/>
      <c r="AO182" s="1008">
        <v>8000000</v>
      </c>
      <c r="AP182" s="1008"/>
      <c r="AQ182" s="1008"/>
      <c r="AR182" s="1008"/>
      <c r="AS182" s="1008"/>
      <c r="AU182" s="1011">
        <f t="shared" si="178"/>
        <v>0</v>
      </c>
      <c r="AV182" s="1008">
        <f t="shared" si="174"/>
        <v>0</v>
      </c>
      <c r="AW182" s="1008"/>
      <c r="AX182" s="1008"/>
      <c r="AY182" s="1008"/>
      <c r="AZ182" s="1008"/>
      <c r="BA182" s="1008"/>
      <c r="BB182" s="1008"/>
      <c r="BC182" s="1008"/>
      <c r="BD182" s="1008"/>
      <c r="BE182" s="1008"/>
      <c r="BF182" s="1008"/>
      <c r="BG182" s="1008"/>
      <c r="BH182" s="1008"/>
      <c r="BI182" s="1008"/>
      <c r="BJ182" s="1008"/>
      <c r="BK182" s="1008"/>
      <c r="BL182" s="1008"/>
      <c r="BM182" s="1008"/>
      <c r="BN182" s="1008"/>
      <c r="BO182" s="1008"/>
      <c r="BP182" s="1008"/>
      <c r="BQ182" s="1011">
        <f t="shared" si="179"/>
        <v>1</v>
      </c>
      <c r="BR182" s="1008">
        <f t="shared" si="175"/>
        <v>8000000</v>
      </c>
      <c r="BS182" s="1008">
        <f t="shared" si="180"/>
        <v>0</v>
      </c>
      <c r="BT182" s="1008">
        <f t="shared" si="181"/>
        <v>0</v>
      </c>
      <c r="BU182" s="1008"/>
      <c r="BV182" s="1008">
        <f t="shared" si="162"/>
        <v>0</v>
      </c>
      <c r="BW182" s="1008">
        <f t="shared" si="162"/>
        <v>0</v>
      </c>
      <c r="BX182" s="1008">
        <f t="shared" si="182"/>
        <v>0</v>
      </c>
      <c r="BY182" s="1008">
        <f t="shared" si="182"/>
        <v>0</v>
      </c>
      <c r="BZ182" s="1008"/>
      <c r="CA182" s="1008">
        <f t="shared" si="183"/>
        <v>0</v>
      </c>
      <c r="CB182" s="1008">
        <f t="shared" si="183"/>
        <v>0</v>
      </c>
      <c r="CC182" s="1008">
        <f t="shared" si="183"/>
        <v>0</v>
      </c>
      <c r="CD182" s="1008">
        <f t="shared" si="183"/>
        <v>0</v>
      </c>
      <c r="CE182" s="1008">
        <f t="shared" si="183"/>
        <v>0</v>
      </c>
      <c r="CF182" s="1008">
        <f t="shared" si="183"/>
        <v>0</v>
      </c>
      <c r="CG182" s="1008">
        <f t="shared" si="183"/>
        <v>0</v>
      </c>
      <c r="CH182" s="1008">
        <f t="shared" si="183"/>
        <v>8000000</v>
      </c>
      <c r="CI182" s="1008">
        <f t="shared" si="183"/>
        <v>0</v>
      </c>
      <c r="CJ182" s="1008"/>
      <c r="CK182" s="1008">
        <f t="shared" si="184"/>
        <v>0</v>
      </c>
      <c r="CL182" s="1008">
        <f t="shared" si="184"/>
        <v>0</v>
      </c>
      <c r="CM182" s="1011">
        <f t="shared" si="185"/>
        <v>0</v>
      </c>
      <c r="CN182" s="1008">
        <f t="shared" si="176"/>
        <v>0</v>
      </c>
      <c r="CO182" s="1008"/>
      <c r="CP182" s="1008"/>
      <c r="CQ182" s="1008"/>
      <c r="CR182" s="1008"/>
      <c r="CS182" s="1008"/>
      <c r="CT182" s="1008"/>
      <c r="CU182" s="1008"/>
      <c r="CV182" s="1008"/>
      <c r="CW182" s="1008"/>
      <c r="CX182" s="1008"/>
      <c r="CY182" s="1008"/>
      <c r="CZ182" s="1008"/>
      <c r="DA182" s="1008"/>
      <c r="DB182" s="1008"/>
      <c r="DC182" s="1008"/>
      <c r="DD182" s="1008"/>
      <c r="DE182" s="1008"/>
      <c r="DF182" s="1008"/>
      <c r="DG182" s="1008"/>
      <c r="DH182" s="1008"/>
      <c r="DI182" s="1011">
        <f t="shared" si="186"/>
        <v>1</v>
      </c>
      <c r="DJ182" s="1008">
        <f t="shared" si="177"/>
        <v>8000000</v>
      </c>
      <c r="DK182" s="1008"/>
      <c r="DL182" s="1008"/>
      <c r="DM182" s="1008"/>
      <c r="DN182" s="1008">
        <f t="shared" si="163"/>
        <v>0</v>
      </c>
      <c r="DO182" s="1008">
        <f t="shared" si="163"/>
        <v>0</v>
      </c>
      <c r="DP182" s="1008">
        <f t="shared" si="163"/>
        <v>0</v>
      </c>
      <c r="DQ182" s="1008">
        <f t="shared" si="163"/>
        <v>0</v>
      </c>
      <c r="DR182" s="1008"/>
      <c r="DS182" s="1008">
        <f t="shared" si="187"/>
        <v>0</v>
      </c>
      <c r="DT182" s="1008">
        <f t="shared" si="187"/>
        <v>0</v>
      </c>
      <c r="DU182" s="1008"/>
      <c r="DV182" s="1008">
        <f t="shared" si="188"/>
        <v>0</v>
      </c>
      <c r="DW182" s="1008">
        <f t="shared" si="188"/>
        <v>0</v>
      </c>
      <c r="DX182" s="1008">
        <f t="shared" si="188"/>
        <v>0</v>
      </c>
      <c r="DY182" s="1008">
        <f t="shared" si="189"/>
        <v>0</v>
      </c>
      <c r="DZ182" s="1008">
        <f t="shared" si="189"/>
        <v>8000000</v>
      </c>
      <c r="EA182" s="1008">
        <f t="shared" si="189"/>
        <v>0</v>
      </c>
      <c r="EB182" s="1008">
        <f t="shared" si="189"/>
        <v>0</v>
      </c>
      <c r="EC182" s="1008">
        <f t="shared" si="189"/>
        <v>0</v>
      </c>
      <c r="ED182" s="1008">
        <f t="shared" si="189"/>
        <v>0</v>
      </c>
    </row>
    <row r="183" spans="1:134" ht="36" customHeight="1" x14ac:dyDescent="0.25">
      <c r="A183" s="1560"/>
      <c r="B183" s="989"/>
      <c r="C183" s="852" t="s">
        <v>4545</v>
      </c>
      <c r="D183" s="1019" t="s">
        <v>4693</v>
      </c>
      <c r="E183" s="995">
        <v>510</v>
      </c>
      <c r="F183" s="1097" t="s">
        <v>4536</v>
      </c>
      <c r="G183" s="1400"/>
      <c r="H183" s="1061">
        <f t="shared" si="143"/>
        <v>74061157</v>
      </c>
      <c r="I183" s="1061">
        <f t="shared" si="144"/>
        <v>32938843</v>
      </c>
      <c r="J183" s="1588"/>
      <c r="K183" s="1584"/>
      <c r="L183" s="1573"/>
      <c r="M183" s="1093">
        <v>30</v>
      </c>
      <c r="N183" s="1093">
        <v>30</v>
      </c>
      <c r="O183" s="1093">
        <v>9</v>
      </c>
      <c r="P183" s="1093">
        <v>30</v>
      </c>
      <c r="Q183" s="1093">
        <v>60</v>
      </c>
      <c r="R183" s="1093">
        <v>18</v>
      </c>
      <c r="S183" s="1097"/>
      <c r="T183" s="1097"/>
      <c r="U183" s="1097"/>
      <c r="V183" s="1097"/>
      <c r="W183" s="1097"/>
      <c r="X183" s="1097"/>
      <c r="Y183" s="1008">
        <f t="shared" si="173"/>
        <v>107000000</v>
      </c>
      <c r="Z183" s="944"/>
      <c r="AA183" s="1008"/>
      <c r="AB183" s="1008"/>
      <c r="AC183" s="1008"/>
      <c r="AD183" s="1008"/>
      <c r="AE183" s="1008">
        <v>107000000</v>
      </c>
      <c r="AF183" s="1008"/>
      <c r="AG183" s="1008"/>
      <c r="AH183" s="1008"/>
      <c r="AI183" s="1008"/>
      <c r="AJ183" s="1008"/>
      <c r="AK183" s="1008"/>
      <c r="AL183" s="1008"/>
      <c r="AM183" s="1008"/>
      <c r="AN183" s="1008"/>
      <c r="AO183" s="1008"/>
      <c r="AP183" s="1008"/>
      <c r="AQ183" s="1008"/>
      <c r="AR183" s="1008"/>
      <c r="AS183" s="1008"/>
      <c r="AU183" s="1011">
        <f t="shared" si="178"/>
        <v>0.69216034579439256</v>
      </c>
      <c r="AV183" s="1008">
        <f t="shared" si="174"/>
        <v>74061157</v>
      </c>
      <c r="AW183" s="1008"/>
      <c r="AX183" s="1008"/>
      <c r="AY183" s="1008"/>
      <c r="AZ183" s="1008"/>
      <c r="BA183" s="1008"/>
      <c r="BB183" s="1008">
        <f>+'[16]AGOSTO 2015'!$O$2267</f>
        <v>74061157</v>
      </c>
      <c r="BC183" s="1008"/>
      <c r="BD183" s="1008"/>
      <c r="BE183" s="1008"/>
      <c r="BF183" s="1008"/>
      <c r="BG183" s="1008"/>
      <c r="BH183" s="1008"/>
      <c r="BI183" s="1008"/>
      <c r="BJ183" s="1008"/>
      <c r="BK183" s="1008"/>
      <c r="BL183" s="1008"/>
      <c r="BM183" s="1008"/>
      <c r="BN183" s="1008"/>
      <c r="BO183" s="1008"/>
      <c r="BP183" s="1008"/>
      <c r="BQ183" s="1011">
        <f t="shared" si="179"/>
        <v>0.30783965420560744</v>
      </c>
      <c r="BR183" s="1008">
        <f t="shared" si="175"/>
        <v>32938843</v>
      </c>
      <c r="BS183" s="1008">
        <f t="shared" si="180"/>
        <v>0</v>
      </c>
      <c r="BT183" s="1008">
        <f t="shared" si="181"/>
        <v>0</v>
      </c>
      <c r="BU183" s="1008"/>
      <c r="BV183" s="1008">
        <f t="shared" si="162"/>
        <v>0</v>
      </c>
      <c r="BW183" s="1008">
        <f t="shared" si="162"/>
        <v>0</v>
      </c>
      <c r="BX183" s="1008">
        <f t="shared" si="182"/>
        <v>32938843</v>
      </c>
      <c r="BY183" s="1008">
        <f t="shared" si="182"/>
        <v>0</v>
      </c>
      <c r="BZ183" s="1008"/>
      <c r="CA183" s="1008">
        <f t="shared" si="183"/>
        <v>0</v>
      </c>
      <c r="CB183" s="1008">
        <f t="shared" si="183"/>
        <v>0</v>
      </c>
      <c r="CC183" s="1008">
        <f t="shared" si="183"/>
        <v>0</v>
      </c>
      <c r="CD183" s="1008">
        <f t="shared" si="183"/>
        <v>0</v>
      </c>
      <c r="CE183" s="1008">
        <f t="shared" si="183"/>
        <v>0</v>
      </c>
      <c r="CF183" s="1008">
        <f t="shared" si="183"/>
        <v>0</v>
      </c>
      <c r="CG183" s="1008">
        <f t="shared" si="183"/>
        <v>0</v>
      </c>
      <c r="CH183" s="1008">
        <f t="shared" si="183"/>
        <v>0</v>
      </c>
      <c r="CI183" s="1008">
        <f t="shared" si="183"/>
        <v>0</v>
      </c>
      <c r="CJ183" s="1008"/>
      <c r="CK183" s="1008"/>
      <c r="CL183" s="1008">
        <f t="shared" si="184"/>
        <v>0</v>
      </c>
      <c r="CM183" s="1011">
        <f t="shared" si="185"/>
        <v>0.69216034579439256</v>
      </c>
      <c r="CN183" s="1008">
        <f t="shared" si="176"/>
        <v>74061157</v>
      </c>
      <c r="CO183" s="1008"/>
      <c r="CP183" s="1008"/>
      <c r="CQ183" s="1008"/>
      <c r="CR183" s="1008"/>
      <c r="CS183" s="1008"/>
      <c r="CT183" s="1008">
        <f>+'[16]AGOSTO 2015'!$H$2265</f>
        <v>74061157</v>
      </c>
      <c r="CU183" s="1008"/>
      <c r="CV183" s="1008"/>
      <c r="CW183" s="1008"/>
      <c r="CX183" s="1008"/>
      <c r="CY183" s="1008"/>
      <c r="CZ183" s="1008"/>
      <c r="DA183" s="1008"/>
      <c r="DB183" s="1008"/>
      <c r="DC183" s="1008"/>
      <c r="DD183" s="1008"/>
      <c r="DE183" s="1008"/>
      <c r="DF183" s="1008"/>
      <c r="DG183" s="1008"/>
      <c r="DH183" s="1008"/>
      <c r="DI183" s="1011">
        <f t="shared" si="186"/>
        <v>0.30783965420560744</v>
      </c>
      <c r="DJ183" s="1008">
        <f t="shared" si="177"/>
        <v>32938843</v>
      </c>
      <c r="DK183" s="1008"/>
      <c r="DL183" s="1008"/>
      <c r="DM183" s="1008"/>
      <c r="DN183" s="1008">
        <f t="shared" si="163"/>
        <v>0</v>
      </c>
      <c r="DO183" s="1008">
        <f t="shared" si="163"/>
        <v>0</v>
      </c>
      <c r="DP183" s="1008">
        <f t="shared" si="163"/>
        <v>32938843</v>
      </c>
      <c r="DQ183" s="1008">
        <f t="shared" si="163"/>
        <v>0</v>
      </c>
      <c r="DR183" s="1008"/>
      <c r="DS183" s="1008">
        <f t="shared" si="187"/>
        <v>0</v>
      </c>
      <c r="DT183" s="1008">
        <f t="shared" si="187"/>
        <v>0</v>
      </c>
      <c r="DU183" s="1008"/>
      <c r="DV183" s="1008">
        <f t="shared" si="188"/>
        <v>0</v>
      </c>
      <c r="DW183" s="1008">
        <f t="shared" si="188"/>
        <v>0</v>
      </c>
      <c r="DX183" s="1008">
        <f t="shared" si="188"/>
        <v>0</v>
      </c>
      <c r="DY183" s="1008">
        <f t="shared" si="189"/>
        <v>0</v>
      </c>
      <c r="DZ183" s="1008">
        <f t="shared" si="189"/>
        <v>0</v>
      </c>
      <c r="EA183" s="1008">
        <f t="shared" si="189"/>
        <v>0</v>
      </c>
      <c r="EB183" s="1008">
        <f t="shared" si="189"/>
        <v>0</v>
      </c>
      <c r="EC183" s="1008">
        <f t="shared" si="189"/>
        <v>0</v>
      </c>
      <c r="ED183" s="1008">
        <f t="shared" si="189"/>
        <v>0</v>
      </c>
    </row>
    <row r="184" spans="1:134" s="203" customFormat="1" ht="33" customHeight="1" x14ac:dyDescent="0.25">
      <c r="A184" s="1560"/>
      <c r="B184" s="989"/>
      <c r="C184" s="1081" t="s">
        <v>4668</v>
      </c>
      <c r="D184" s="1019" t="s">
        <v>4655</v>
      </c>
      <c r="E184" s="997">
        <v>510</v>
      </c>
      <c r="F184" s="1097" t="s">
        <v>4536</v>
      </c>
      <c r="G184" s="1401"/>
      <c r="H184" s="1061">
        <f t="shared" si="143"/>
        <v>0</v>
      </c>
      <c r="I184" s="1061">
        <f t="shared" si="144"/>
        <v>0</v>
      </c>
      <c r="J184" s="1589"/>
      <c r="K184" s="1585"/>
      <c r="L184" s="1284"/>
      <c r="M184" s="1075">
        <v>0</v>
      </c>
      <c r="N184" s="1075">
        <v>0</v>
      </c>
      <c r="O184" s="1075">
        <v>0</v>
      </c>
      <c r="P184" s="1075"/>
      <c r="Q184" s="1075"/>
      <c r="R184" s="1075"/>
      <c r="S184" s="1097"/>
      <c r="T184" s="1097"/>
      <c r="U184" s="1097"/>
      <c r="V184" s="1097"/>
      <c r="W184" s="1097"/>
      <c r="X184" s="1097"/>
      <c r="Y184" s="1067">
        <f t="shared" si="173"/>
        <v>0</v>
      </c>
      <c r="Z184" s="149"/>
      <c r="AA184" s="1067"/>
      <c r="AB184" s="1067"/>
      <c r="AC184" s="1067">
        <f>15000000-15000000</f>
        <v>0</v>
      </c>
      <c r="AD184" s="1067"/>
      <c r="AE184" s="1067"/>
      <c r="AF184" s="1067"/>
      <c r="AG184" s="1067"/>
      <c r="AH184" s="1067"/>
      <c r="AI184" s="1067"/>
      <c r="AJ184" s="1067"/>
      <c r="AK184" s="1067"/>
      <c r="AL184" s="1067"/>
      <c r="AM184" s="1067"/>
      <c r="AN184" s="1067"/>
      <c r="AO184" s="1067"/>
      <c r="AP184" s="1067"/>
      <c r="AQ184" s="1067"/>
      <c r="AR184" s="1067"/>
      <c r="AS184" s="1067"/>
      <c r="AU184" s="1082" t="e">
        <f t="shared" si="178"/>
        <v>#DIV/0!</v>
      </c>
      <c r="AV184" s="1067">
        <f t="shared" si="174"/>
        <v>0</v>
      </c>
      <c r="AW184" s="1067"/>
      <c r="AX184" s="1067"/>
      <c r="AY184" s="1067"/>
      <c r="AZ184" s="1067"/>
      <c r="BA184" s="1067"/>
      <c r="BB184" s="1067"/>
      <c r="BC184" s="1067"/>
      <c r="BD184" s="1067"/>
      <c r="BE184" s="1067"/>
      <c r="BF184" s="1067"/>
      <c r="BG184" s="1067"/>
      <c r="BH184" s="1067"/>
      <c r="BI184" s="1067"/>
      <c r="BJ184" s="1067"/>
      <c r="BK184" s="1067"/>
      <c r="BL184" s="1067"/>
      <c r="BM184" s="1067"/>
      <c r="BN184" s="1067"/>
      <c r="BO184" s="1067"/>
      <c r="BP184" s="1067"/>
      <c r="BQ184" s="1082" t="e">
        <f t="shared" si="179"/>
        <v>#DIV/0!</v>
      </c>
      <c r="BR184" s="1067">
        <f t="shared" si="175"/>
        <v>0</v>
      </c>
      <c r="BS184" s="1067">
        <f t="shared" si="180"/>
        <v>0</v>
      </c>
      <c r="BT184" s="1067">
        <f t="shared" si="181"/>
        <v>0</v>
      </c>
      <c r="BU184" s="1067"/>
      <c r="BV184" s="1067">
        <f t="shared" si="162"/>
        <v>0</v>
      </c>
      <c r="BW184" s="1067">
        <f t="shared" si="162"/>
        <v>0</v>
      </c>
      <c r="BX184" s="1067">
        <f t="shared" si="182"/>
        <v>0</v>
      </c>
      <c r="BY184" s="1067">
        <f t="shared" si="182"/>
        <v>0</v>
      </c>
      <c r="BZ184" s="1067"/>
      <c r="CA184" s="1067">
        <f t="shared" si="183"/>
        <v>0</v>
      </c>
      <c r="CB184" s="1067">
        <f t="shared" si="183"/>
        <v>0</v>
      </c>
      <c r="CC184" s="1067">
        <f t="shared" si="183"/>
        <v>0</v>
      </c>
      <c r="CD184" s="1067">
        <f t="shared" si="183"/>
        <v>0</v>
      </c>
      <c r="CE184" s="1067">
        <f t="shared" si="183"/>
        <v>0</v>
      </c>
      <c r="CF184" s="1067">
        <f t="shared" si="183"/>
        <v>0</v>
      </c>
      <c r="CG184" s="1067">
        <f t="shared" si="183"/>
        <v>0</v>
      </c>
      <c r="CH184" s="1067">
        <f t="shared" si="183"/>
        <v>0</v>
      </c>
      <c r="CI184" s="1067">
        <f t="shared" si="183"/>
        <v>0</v>
      </c>
      <c r="CJ184" s="1067"/>
      <c r="CK184" s="1067"/>
      <c r="CL184" s="1067">
        <f t="shared" si="184"/>
        <v>0</v>
      </c>
      <c r="CM184" s="1082" t="e">
        <f t="shared" si="185"/>
        <v>#DIV/0!</v>
      </c>
      <c r="CN184" s="1067">
        <f t="shared" si="176"/>
        <v>0</v>
      </c>
      <c r="CO184" s="1067"/>
      <c r="CP184" s="1067"/>
      <c r="CQ184" s="1067"/>
      <c r="CR184" s="1067"/>
      <c r="CS184" s="1067"/>
      <c r="CT184" s="1067"/>
      <c r="CU184" s="1067"/>
      <c r="CV184" s="1067"/>
      <c r="CW184" s="1067"/>
      <c r="CX184" s="1067"/>
      <c r="CY184" s="1067"/>
      <c r="CZ184" s="1067"/>
      <c r="DA184" s="1067"/>
      <c r="DB184" s="1067"/>
      <c r="DC184" s="1067"/>
      <c r="DD184" s="1067"/>
      <c r="DE184" s="1067"/>
      <c r="DF184" s="1067"/>
      <c r="DG184" s="1067"/>
      <c r="DH184" s="1067"/>
      <c r="DI184" s="1082" t="e">
        <f t="shared" si="186"/>
        <v>#DIV/0!</v>
      </c>
      <c r="DJ184" s="1067">
        <f t="shared" si="177"/>
        <v>0</v>
      </c>
      <c r="DK184" s="1067"/>
      <c r="DL184" s="1067"/>
      <c r="DM184" s="1067"/>
      <c r="DN184" s="1067">
        <f t="shared" si="163"/>
        <v>0</v>
      </c>
      <c r="DO184" s="1067">
        <f t="shared" si="163"/>
        <v>0</v>
      </c>
      <c r="DP184" s="1067">
        <f t="shared" si="163"/>
        <v>0</v>
      </c>
      <c r="DQ184" s="1067">
        <f t="shared" si="163"/>
        <v>0</v>
      </c>
      <c r="DR184" s="1067"/>
      <c r="DS184" s="1067">
        <f t="shared" si="187"/>
        <v>0</v>
      </c>
      <c r="DT184" s="1067">
        <f t="shared" si="187"/>
        <v>0</v>
      </c>
      <c r="DU184" s="1067"/>
      <c r="DV184" s="1067">
        <f t="shared" si="188"/>
        <v>0</v>
      </c>
      <c r="DW184" s="1067">
        <f t="shared" si="188"/>
        <v>0</v>
      </c>
      <c r="DX184" s="1067">
        <f t="shared" si="188"/>
        <v>0</v>
      </c>
      <c r="DY184" s="1067">
        <f t="shared" si="189"/>
        <v>0</v>
      </c>
      <c r="DZ184" s="1067">
        <f t="shared" si="189"/>
        <v>0</v>
      </c>
      <c r="EA184" s="1067">
        <f t="shared" si="189"/>
        <v>0</v>
      </c>
      <c r="EB184" s="1067">
        <f t="shared" si="189"/>
        <v>0</v>
      </c>
      <c r="EC184" s="1067">
        <f t="shared" si="189"/>
        <v>0</v>
      </c>
      <c r="ED184" s="1067">
        <f t="shared" si="189"/>
        <v>0</v>
      </c>
    </row>
    <row r="185" spans="1:134" ht="39" customHeight="1" x14ac:dyDescent="0.25">
      <c r="A185" s="1560"/>
      <c r="B185" s="989" t="s">
        <v>4452</v>
      </c>
      <c r="C185" s="852" t="s">
        <v>4643</v>
      </c>
      <c r="D185" s="1019" t="s">
        <v>4705</v>
      </c>
      <c r="E185" s="995">
        <v>510</v>
      </c>
      <c r="F185" s="1097" t="s">
        <v>4591</v>
      </c>
      <c r="G185" s="1097">
        <v>80000000</v>
      </c>
      <c r="H185" s="1061">
        <f t="shared" si="143"/>
        <v>61291800</v>
      </c>
      <c r="I185" s="1061">
        <f t="shared" si="144"/>
        <v>18708200</v>
      </c>
      <c r="J185" s="1069">
        <v>0</v>
      </c>
      <c r="K185" s="1112">
        <v>1</v>
      </c>
      <c r="L185" s="1093">
        <v>30</v>
      </c>
      <c r="M185" s="1093">
        <v>7</v>
      </c>
      <c r="N185" s="1093">
        <v>100</v>
      </c>
      <c r="O185" s="1093">
        <v>7</v>
      </c>
      <c r="P185" s="1093">
        <v>64</v>
      </c>
      <c r="Q185" s="1093">
        <v>100</v>
      </c>
      <c r="R185" s="1093">
        <v>64</v>
      </c>
      <c r="S185" s="1097"/>
      <c r="T185" s="1097"/>
      <c r="U185" s="1097"/>
      <c r="V185" s="1097"/>
      <c r="W185" s="1097"/>
      <c r="X185" s="1097"/>
      <c r="Y185" s="1008">
        <f t="shared" si="173"/>
        <v>80000000</v>
      </c>
      <c r="Z185" s="944"/>
      <c r="AA185" s="1008"/>
      <c r="AB185" s="1008"/>
      <c r="AC185" s="1008"/>
      <c r="AD185" s="1008"/>
      <c r="AE185" s="1008">
        <v>80000000</v>
      </c>
      <c r="AF185" s="1008"/>
      <c r="AG185" s="1008"/>
      <c r="AH185" s="1008"/>
      <c r="AI185" s="1008"/>
      <c r="AJ185" s="1008"/>
      <c r="AK185" s="1008"/>
      <c r="AL185" s="1008"/>
      <c r="AM185" s="1008"/>
      <c r="AN185" s="1008"/>
      <c r="AO185" s="1008"/>
      <c r="AP185" s="1008"/>
      <c r="AQ185" s="1008"/>
      <c r="AR185" s="1008"/>
      <c r="AS185" s="1008"/>
      <c r="AU185" s="1011">
        <f t="shared" si="178"/>
        <v>0.88364750000000003</v>
      </c>
      <c r="AV185" s="1008">
        <f t="shared" si="174"/>
        <v>70691800</v>
      </c>
      <c r="AW185" s="1008"/>
      <c r="AX185" s="1008"/>
      <c r="AY185" s="1008"/>
      <c r="AZ185" s="1008"/>
      <c r="BA185" s="1008"/>
      <c r="BB185" s="1008">
        <f>+'[17]SEPTIEMBRE 2015'!$O$2797</f>
        <v>70691800</v>
      </c>
      <c r="BC185" s="1008"/>
      <c r="BD185" s="1008"/>
      <c r="BE185" s="1008"/>
      <c r="BF185" s="1008"/>
      <c r="BG185" s="1008"/>
      <c r="BH185" s="1008"/>
      <c r="BI185" s="1008"/>
      <c r="BJ185" s="1008"/>
      <c r="BK185" s="1008"/>
      <c r="BL185" s="1008"/>
      <c r="BM185" s="1008"/>
      <c r="BN185" s="1008"/>
      <c r="BO185" s="1008"/>
      <c r="BP185" s="1008"/>
      <c r="BQ185" s="1011">
        <f t="shared" si="179"/>
        <v>0.11635249999999997</v>
      </c>
      <c r="BR185" s="1008">
        <f t="shared" si="175"/>
        <v>9308200</v>
      </c>
      <c r="BS185" s="1008">
        <f t="shared" si="180"/>
        <v>0</v>
      </c>
      <c r="BT185" s="1008">
        <f t="shared" si="181"/>
        <v>0</v>
      </c>
      <c r="BU185" s="1008"/>
      <c r="BV185" s="1008">
        <f t="shared" si="162"/>
        <v>0</v>
      </c>
      <c r="BW185" s="1008">
        <f t="shared" si="162"/>
        <v>0</v>
      </c>
      <c r="BX185" s="1008">
        <f t="shared" si="182"/>
        <v>9308200</v>
      </c>
      <c r="BY185" s="1008">
        <f t="shared" si="182"/>
        <v>0</v>
      </c>
      <c r="BZ185" s="1008"/>
      <c r="CA185" s="1008">
        <f t="shared" si="183"/>
        <v>0</v>
      </c>
      <c r="CB185" s="1008">
        <f t="shared" si="183"/>
        <v>0</v>
      </c>
      <c r="CC185" s="1008">
        <f t="shared" si="183"/>
        <v>0</v>
      </c>
      <c r="CD185" s="1008">
        <f t="shared" si="183"/>
        <v>0</v>
      </c>
      <c r="CE185" s="1008">
        <f t="shared" si="183"/>
        <v>0</v>
      </c>
      <c r="CF185" s="1008">
        <f t="shared" si="183"/>
        <v>0</v>
      </c>
      <c r="CG185" s="1008">
        <f t="shared" si="183"/>
        <v>0</v>
      </c>
      <c r="CH185" s="1008">
        <f t="shared" si="183"/>
        <v>0</v>
      </c>
      <c r="CI185" s="1008">
        <f t="shared" si="183"/>
        <v>0</v>
      </c>
      <c r="CJ185" s="1008"/>
      <c r="CK185" s="1008"/>
      <c r="CL185" s="1008">
        <f t="shared" si="184"/>
        <v>0</v>
      </c>
      <c r="CM185" s="1011">
        <f t="shared" si="185"/>
        <v>0.76614749999999998</v>
      </c>
      <c r="CN185" s="1008">
        <f t="shared" si="176"/>
        <v>61291800</v>
      </c>
      <c r="CO185" s="1008"/>
      <c r="CP185" s="1008"/>
      <c r="CQ185" s="1008"/>
      <c r="CR185" s="1008"/>
      <c r="CS185" s="1008"/>
      <c r="CT185" s="1008">
        <f>+'[17]SEPTIEMBRE 2015'!$H$2795</f>
        <v>61291800</v>
      </c>
      <c r="CU185" s="1008"/>
      <c r="CV185" s="1008"/>
      <c r="CW185" s="1008"/>
      <c r="CX185" s="1008"/>
      <c r="CY185" s="1008"/>
      <c r="CZ185" s="1008"/>
      <c r="DA185" s="1008"/>
      <c r="DB185" s="1008"/>
      <c r="DC185" s="1008"/>
      <c r="DD185" s="1008"/>
      <c r="DE185" s="1008"/>
      <c r="DF185" s="1008"/>
      <c r="DG185" s="1008"/>
      <c r="DH185" s="1008"/>
      <c r="DI185" s="1011">
        <f t="shared" si="186"/>
        <v>0.23385250000000002</v>
      </c>
      <c r="DJ185" s="1008">
        <f t="shared" si="177"/>
        <v>18708200</v>
      </c>
      <c r="DK185" s="1008"/>
      <c r="DL185" s="1008"/>
      <c r="DM185" s="1008"/>
      <c r="DN185" s="1008">
        <f t="shared" si="163"/>
        <v>0</v>
      </c>
      <c r="DO185" s="1008">
        <f t="shared" si="163"/>
        <v>0</v>
      </c>
      <c r="DP185" s="1008">
        <f t="shared" si="163"/>
        <v>18708200</v>
      </c>
      <c r="DQ185" s="1008">
        <f t="shared" si="163"/>
        <v>0</v>
      </c>
      <c r="DR185" s="1008"/>
      <c r="DS185" s="1008">
        <f t="shared" si="187"/>
        <v>0</v>
      </c>
      <c r="DT185" s="1008">
        <f t="shared" si="187"/>
        <v>0</v>
      </c>
      <c r="DU185" s="1008"/>
      <c r="DV185" s="1008">
        <f t="shared" si="188"/>
        <v>0</v>
      </c>
      <c r="DW185" s="1008">
        <f t="shared" si="188"/>
        <v>0</v>
      </c>
      <c r="DX185" s="1008">
        <f t="shared" si="188"/>
        <v>0</v>
      </c>
      <c r="DY185" s="1008">
        <f t="shared" si="189"/>
        <v>0</v>
      </c>
      <c r="DZ185" s="1008">
        <f t="shared" si="189"/>
        <v>0</v>
      </c>
      <c r="EA185" s="1008">
        <f t="shared" si="189"/>
        <v>0</v>
      </c>
      <c r="EB185" s="1008">
        <f t="shared" si="189"/>
        <v>0</v>
      </c>
      <c r="EC185" s="1008">
        <f t="shared" si="189"/>
        <v>0</v>
      </c>
      <c r="ED185" s="1008">
        <f t="shared" si="189"/>
        <v>0</v>
      </c>
    </row>
    <row r="186" spans="1:134" ht="24.75" customHeight="1" x14ac:dyDescent="0.25">
      <c r="A186" s="1560"/>
      <c r="B186" s="989" t="s">
        <v>4453</v>
      </c>
      <c r="C186" s="852" t="s">
        <v>4647</v>
      </c>
      <c r="D186" s="1019" t="s">
        <v>4694</v>
      </c>
      <c r="E186" s="995">
        <v>510</v>
      </c>
      <c r="F186" s="1097" t="s">
        <v>4482</v>
      </c>
      <c r="G186" s="1399">
        <v>120000000</v>
      </c>
      <c r="H186" s="1061">
        <f t="shared" si="143"/>
        <v>0</v>
      </c>
      <c r="I186" s="1061">
        <f t="shared" si="144"/>
        <v>1000000</v>
      </c>
      <c r="J186" s="1097">
        <v>0</v>
      </c>
      <c r="K186" s="1112">
        <v>1</v>
      </c>
      <c r="L186" s="1093">
        <v>100</v>
      </c>
      <c r="M186" s="1093">
        <v>0</v>
      </c>
      <c r="N186" s="1093">
        <v>0</v>
      </c>
      <c r="O186" s="1093">
        <v>0</v>
      </c>
      <c r="P186" s="1093">
        <v>0</v>
      </c>
      <c r="Q186" s="1093">
        <v>0</v>
      </c>
      <c r="R186" s="1093">
        <v>0</v>
      </c>
      <c r="S186" s="1097"/>
      <c r="T186" s="1097"/>
      <c r="U186" s="1097"/>
      <c r="V186" s="1097"/>
      <c r="W186" s="1097"/>
      <c r="X186" s="1097"/>
      <c r="Y186" s="1008">
        <f t="shared" si="173"/>
        <v>1000000</v>
      </c>
      <c r="Z186" s="944"/>
      <c r="AA186" s="1008"/>
      <c r="AB186" s="1008"/>
      <c r="AC186" s="1008"/>
      <c r="AD186" s="1008"/>
      <c r="AE186" s="1008">
        <v>1000000</v>
      </c>
      <c r="AF186" s="1008"/>
      <c r="AG186" s="1008"/>
      <c r="AH186" s="1008"/>
      <c r="AI186" s="1008"/>
      <c r="AJ186" s="1008"/>
      <c r="AK186" s="1008"/>
      <c r="AL186" s="1008"/>
      <c r="AM186" s="1008"/>
      <c r="AN186" s="1008"/>
      <c r="AO186" s="1008"/>
      <c r="AP186" s="1008"/>
      <c r="AQ186" s="1008"/>
      <c r="AR186" s="1008"/>
      <c r="AS186" s="1008"/>
      <c r="AU186" s="1011">
        <f t="shared" si="178"/>
        <v>0</v>
      </c>
      <c r="AV186" s="1008">
        <f t="shared" si="174"/>
        <v>0</v>
      </c>
      <c r="AW186" s="1008"/>
      <c r="AX186" s="1008"/>
      <c r="AY186" s="1008"/>
      <c r="AZ186" s="1008"/>
      <c r="BA186" s="1008"/>
      <c r="BB186" s="1008"/>
      <c r="BC186" s="1008"/>
      <c r="BD186" s="1008"/>
      <c r="BE186" s="1008"/>
      <c r="BF186" s="1008"/>
      <c r="BG186" s="1008"/>
      <c r="BH186" s="1008"/>
      <c r="BI186" s="1008"/>
      <c r="BJ186" s="1008"/>
      <c r="BK186" s="1008"/>
      <c r="BL186" s="1008"/>
      <c r="BM186" s="1008"/>
      <c r="BN186" s="1008"/>
      <c r="BO186" s="1008"/>
      <c r="BP186" s="1008"/>
      <c r="BQ186" s="1011">
        <f t="shared" si="179"/>
        <v>1</v>
      </c>
      <c r="BR186" s="1008">
        <f t="shared" si="175"/>
        <v>1000000</v>
      </c>
      <c r="BS186" s="1008">
        <f t="shared" si="180"/>
        <v>0</v>
      </c>
      <c r="BT186" s="1008">
        <f t="shared" si="181"/>
        <v>0</v>
      </c>
      <c r="BU186" s="1008"/>
      <c r="BV186" s="1008">
        <f t="shared" si="162"/>
        <v>0</v>
      </c>
      <c r="BW186" s="1008">
        <f t="shared" si="162"/>
        <v>0</v>
      </c>
      <c r="BX186" s="1008">
        <f t="shared" si="182"/>
        <v>1000000</v>
      </c>
      <c r="BY186" s="1008">
        <f t="shared" si="182"/>
        <v>0</v>
      </c>
      <c r="BZ186" s="1008"/>
      <c r="CA186" s="1008">
        <f t="shared" si="183"/>
        <v>0</v>
      </c>
      <c r="CB186" s="1008">
        <f t="shared" si="183"/>
        <v>0</v>
      </c>
      <c r="CC186" s="1008">
        <f t="shared" si="183"/>
        <v>0</v>
      </c>
      <c r="CD186" s="1008">
        <f t="shared" si="183"/>
        <v>0</v>
      </c>
      <c r="CE186" s="1008">
        <f t="shared" si="183"/>
        <v>0</v>
      </c>
      <c r="CF186" s="1008">
        <f t="shared" si="183"/>
        <v>0</v>
      </c>
      <c r="CG186" s="1008">
        <f t="shared" si="183"/>
        <v>0</v>
      </c>
      <c r="CH186" s="1008">
        <f t="shared" si="183"/>
        <v>0</v>
      </c>
      <c r="CI186" s="1008">
        <f t="shared" si="183"/>
        <v>0</v>
      </c>
      <c r="CJ186" s="1008"/>
      <c r="CK186" s="1008"/>
      <c r="CL186" s="1008">
        <f t="shared" si="184"/>
        <v>0</v>
      </c>
      <c r="CM186" s="1011">
        <f t="shared" si="185"/>
        <v>0</v>
      </c>
      <c r="CN186" s="1008">
        <f t="shared" si="176"/>
        <v>0</v>
      </c>
      <c r="CO186" s="1008"/>
      <c r="CP186" s="1008"/>
      <c r="CQ186" s="1008"/>
      <c r="CR186" s="1008"/>
      <c r="CS186" s="1008"/>
      <c r="CT186" s="1008"/>
      <c r="CU186" s="1008"/>
      <c r="CV186" s="1008"/>
      <c r="CW186" s="1008"/>
      <c r="CX186" s="1008"/>
      <c r="CY186" s="1008"/>
      <c r="CZ186" s="1008"/>
      <c r="DA186" s="1008"/>
      <c r="DB186" s="1008"/>
      <c r="DC186" s="1008"/>
      <c r="DD186" s="1008"/>
      <c r="DE186" s="1008"/>
      <c r="DF186" s="1008"/>
      <c r="DG186" s="1008"/>
      <c r="DH186" s="1008"/>
      <c r="DI186" s="1011">
        <f t="shared" si="186"/>
        <v>1</v>
      </c>
      <c r="DJ186" s="1008">
        <f t="shared" si="177"/>
        <v>1000000</v>
      </c>
      <c r="DK186" s="1008"/>
      <c r="DL186" s="1008"/>
      <c r="DM186" s="1008"/>
      <c r="DN186" s="1008">
        <f t="shared" si="163"/>
        <v>0</v>
      </c>
      <c r="DO186" s="1008">
        <f t="shared" si="163"/>
        <v>0</v>
      </c>
      <c r="DP186" s="1008">
        <f t="shared" si="163"/>
        <v>1000000</v>
      </c>
      <c r="DQ186" s="1008">
        <f t="shared" si="163"/>
        <v>0</v>
      </c>
      <c r="DR186" s="1008"/>
      <c r="DS186" s="1008">
        <f t="shared" si="187"/>
        <v>0</v>
      </c>
      <c r="DT186" s="1008">
        <f t="shared" si="187"/>
        <v>0</v>
      </c>
      <c r="DU186" s="1008"/>
      <c r="DV186" s="1008">
        <f t="shared" si="188"/>
        <v>0</v>
      </c>
      <c r="DW186" s="1008">
        <f t="shared" si="188"/>
        <v>0</v>
      </c>
      <c r="DX186" s="1008">
        <f t="shared" si="188"/>
        <v>0</v>
      </c>
      <c r="DY186" s="1008">
        <f t="shared" si="189"/>
        <v>0</v>
      </c>
      <c r="DZ186" s="1008">
        <f t="shared" si="189"/>
        <v>0</v>
      </c>
      <c r="EA186" s="1008">
        <f t="shared" si="189"/>
        <v>0</v>
      </c>
      <c r="EB186" s="1008">
        <f t="shared" si="189"/>
        <v>0</v>
      </c>
      <c r="EC186" s="1008">
        <f t="shared" si="189"/>
        <v>0</v>
      </c>
      <c r="ED186" s="1008">
        <f t="shared" si="189"/>
        <v>0</v>
      </c>
    </row>
    <row r="187" spans="1:134" ht="24" customHeight="1" x14ac:dyDescent="0.25">
      <c r="A187" s="1560"/>
      <c r="B187" s="989"/>
      <c r="C187" s="852" t="s">
        <v>4648</v>
      </c>
      <c r="D187" s="1019" t="s">
        <v>4695</v>
      </c>
      <c r="E187" s="995">
        <v>510</v>
      </c>
      <c r="F187" s="1097" t="s">
        <v>4482</v>
      </c>
      <c r="G187" s="1400"/>
      <c r="H187" s="1061">
        <f t="shared" si="143"/>
        <v>0</v>
      </c>
      <c r="I187" s="1061">
        <f t="shared" si="144"/>
        <v>5000000</v>
      </c>
      <c r="J187" s="1270">
        <v>0</v>
      </c>
      <c r="K187" s="1586">
        <v>1</v>
      </c>
      <c r="L187" s="1305">
        <v>100</v>
      </c>
      <c r="M187" s="1093">
        <v>0</v>
      </c>
      <c r="N187" s="1093">
        <v>0</v>
      </c>
      <c r="O187" s="1093">
        <v>0</v>
      </c>
      <c r="P187" s="1093">
        <v>0</v>
      </c>
      <c r="Q187" s="1093">
        <v>0</v>
      </c>
      <c r="R187" s="1093">
        <v>0</v>
      </c>
      <c r="S187" s="1097"/>
      <c r="T187" s="1097"/>
      <c r="U187" s="1097"/>
      <c r="V187" s="1097"/>
      <c r="W187" s="1097"/>
      <c r="X187" s="1097"/>
      <c r="Y187" s="1008">
        <f t="shared" si="173"/>
        <v>5000000</v>
      </c>
      <c r="Z187" s="944"/>
      <c r="AA187" s="1008"/>
      <c r="AB187" s="1008"/>
      <c r="AC187" s="1008"/>
      <c r="AD187" s="1008"/>
      <c r="AE187" s="1008">
        <v>5000000</v>
      </c>
      <c r="AF187" s="1008"/>
      <c r="AG187" s="1008"/>
      <c r="AH187" s="1008"/>
      <c r="AI187" s="1008"/>
      <c r="AJ187" s="1008"/>
      <c r="AK187" s="1008"/>
      <c r="AL187" s="1008"/>
      <c r="AM187" s="1008"/>
      <c r="AN187" s="1008"/>
      <c r="AO187" s="1008"/>
      <c r="AP187" s="1008"/>
      <c r="AQ187" s="1008"/>
      <c r="AR187" s="1008"/>
      <c r="AS187" s="1008"/>
      <c r="AU187" s="1011">
        <f t="shared" si="178"/>
        <v>0</v>
      </c>
      <c r="AV187" s="1008">
        <f t="shared" si="174"/>
        <v>0</v>
      </c>
      <c r="AW187" s="1008"/>
      <c r="AX187" s="1008"/>
      <c r="AY187" s="1008"/>
      <c r="AZ187" s="1008"/>
      <c r="BA187" s="1008"/>
      <c r="BB187" s="1008"/>
      <c r="BC187" s="1008"/>
      <c r="BD187" s="1008"/>
      <c r="BE187" s="1008"/>
      <c r="BF187" s="1008"/>
      <c r="BG187" s="1008"/>
      <c r="BH187" s="1008"/>
      <c r="BI187" s="1008"/>
      <c r="BJ187" s="1008"/>
      <c r="BK187" s="1008"/>
      <c r="BL187" s="1008"/>
      <c r="BM187" s="1008"/>
      <c r="BN187" s="1008"/>
      <c r="BO187" s="1008"/>
      <c r="BP187" s="1008"/>
      <c r="BQ187" s="1011">
        <f t="shared" si="179"/>
        <v>1</v>
      </c>
      <c r="BR187" s="1008">
        <f t="shared" si="175"/>
        <v>5000000</v>
      </c>
      <c r="BS187" s="1008">
        <f t="shared" si="180"/>
        <v>0</v>
      </c>
      <c r="BT187" s="1008">
        <f t="shared" si="181"/>
        <v>0</v>
      </c>
      <c r="BU187" s="1008"/>
      <c r="BV187" s="1008">
        <f t="shared" si="162"/>
        <v>0</v>
      </c>
      <c r="BW187" s="1008">
        <f t="shared" si="162"/>
        <v>0</v>
      </c>
      <c r="BX187" s="1008">
        <f t="shared" si="182"/>
        <v>5000000</v>
      </c>
      <c r="BY187" s="1008">
        <f t="shared" si="182"/>
        <v>0</v>
      </c>
      <c r="BZ187" s="1008"/>
      <c r="CA187" s="1008">
        <f t="shared" si="183"/>
        <v>0</v>
      </c>
      <c r="CB187" s="1008">
        <f t="shared" si="183"/>
        <v>0</v>
      </c>
      <c r="CC187" s="1008">
        <f t="shared" si="183"/>
        <v>0</v>
      </c>
      <c r="CD187" s="1008">
        <f t="shared" si="183"/>
        <v>0</v>
      </c>
      <c r="CE187" s="1008">
        <f t="shared" si="183"/>
        <v>0</v>
      </c>
      <c r="CF187" s="1008">
        <f t="shared" si="183"/>
        <v>0</v>
      </c>
      <c r="CG187" s="1008">
        <f t="shared" si="183"/>
        <v>0</v>
      </c>
      <c r="CH187" s="1008">
        <f t="shared" si="183"/>
        <v>0</v>
      </c>
      <c r="CI187" s="1008">
        <f t="shared" si="183"/>
        <v>0</v>
      </c>
      <c r="CJ187" s="1008"/>
      <c r="CK187" s="1008"/>
      <c r="CL187" s="1008">
        <f t="shared" si="184"/>
        <v>0</v>
      </c>
      <c r="CM187" s="1011">
        <f t="shared" si="185"/>
        <v>0</v>
      </c>
      <c r="CN187" s="1008">
        <f t="shared" si="176"/>
        <v>0</v>
      </c>
      <c r="CO187" s="1008"/>
      <c r="CP187" s="1008"/>
      <c r="CQ187" s="1008"/>
      <c r="CR187" s="1008"/>
      <c r="CS187" s="1008"/>
      <c r="CT187" s="1008"/>
      <c r="CU187" s="1008"/>
      <c r="CV187" s="1008"/>
      <c r="CW187" s="1008"/>
      <c r="CX187" s="1008"/>
      <c r="CY187" s="1008"/>
      <c r="CZ187" s="1008"/>
      <c r="DA187" s="1008"/>
      <c r="DB187" s="1008"/>
      <c r="DC187" s="1008"/>
      <c r="DD187" s="1008"/>
      <c r="DE187" s="1008"/>
      <c r="DF187" s="1008"/>
      <c r="DG187" s="1008"/>
      <c r="DH187" s="1008"/>
      <c r="DI187" s="1011">
        <f t="shared" si="186"/>
        <v>1</v>
      </c>
      <c r="DJ187" s="1008">
        <f t="shared" si="177"/>
        <v>5000000</v>
      </c>
      <c r="DK187" s="1008"/>
      <c r="DL187" s="1008"/>
      <c r="DM187" s="1008"/>
      <c r="DN187" s="1008">
        <f t="shared" si="163"/>
        <v>0</v>
      </c>
      <c r="DO187" s="1008">
        <f t="shared" si="163"/>
        <v>0</v>
      </c>
      <c r="DP187" s="1008">
        <f t="shared" si="163"/>
        <v>5000000</v>
      </c>
      <c r="DQ187" s="1008">
        <f t="shared" si="163"/>
        <v>0</v>
      </c>
      <c r="DR187" s="1008"/>
      <c r="DS187" s="1008">
        <f t="shared" si="187"/>
        <v>0</v>
      </c>
      <c r="DT187" s="1008">
        <f t="shared" si="187"/>
        <v>0</v>
      </c>
      <c r="DU187" s="1008"/>
      <c r="DV187" s="1008">
        <f t="shared" si="188"/>
        <v>0</v>
      </c>
      <c r="DW187" s="1008">
        <f t="shared" si="188"/>
        <v>0</v>
      </c>
      <c r="DX187" s="1008">
        <f t="shared" si="188"/>
        <v>0</v>
      </c>
      <c r="DY187" s="1008">
        <f t="shared" si="189"/>
        <v>0</v>
      </c>
      <c r="DZ187" s="1008">
        <f t="shared" si="189"/>
        <v>0</v>
      </c>
      <c r="EA187" s="1008">
        <f t="shared" si="189"/>
        <v>0</v>
      </c>
      <c r="EB187" s="1008">
        <f t="shared" si="189"/>
        <v>0</v>
      </c>
      <c r="EC187" s="1008">
        <f t="shared" si="189"/>
        <v>0</v>
      </c>
      <c r="ED187" s="1008">
        <f t="shared" si="189"/>
        <v>0</v>
      </c>
    </row>
    <row r="188" spans="1:134" ht="51" customHeight="1" x14ac:dyDescent="0.25">
      <c r="A188" s="1560"/>
      <c r="B188" s="989"/>
      <c r="C188" s="852" t="s">
        <v>4649</v>
      </c>
      <c r="D188" s="1019" t="s">
        <v>4645</v>
      </c>
      <c r="E188" s="995">
        <v>510</v>
      </c>
      <c r="F188" s="1097" t="s">
        <v>4482</v>
      </c>
      <c r="G188" s="1400"/>
      <c r="H188" s="1061">
        <f t="shared" si="143"/>
        <v>77930000</v>
      </c>
      <c r="I188" s="1061">
        <f t="shared" si="144"/>
        <v>33070000</v>
      </c>
      <c r="J188" s="1270"/>
      <c r="K188" s="1586"/>
      <c r="L188" s="1305"/>
      <c r="M188" s="1093">
        <v>0</v>
      </c>
      <c r="N188" s="1093">
        <v>0</v>
      </c>
      <c r="O188" s="1093">
        <v>0</v>
      </c>
      <c r="P188" s="1093">
        <v>0</v>
      </c>
      <c r="Q188" s="1093">
        <v>0</v>
      </c>
      <c r="R188" s="1093">
        <v>0</v>
      </c>
      <c r="S188" s="1097"/>
      <c r="T188" s="1097"/>
      <c r="U188" s="1097"/>
      <c r="V188" s="1097"/>
      <c r="W188" s="1097"/>
      <c r="X188" s="1097"/>
      <c r="Y188" s="1008">
        <f t="shared" si="173"/>
        <v>111000000</v>
      </c>
      <c r="Z188" s="944"/>
      <c r="AA188" s="1008"/>
      <c r="AB188" s="1008"/>
      <c r="AC188" s="1008"/>
      <c r="AD188" s="1008"/>
      <c r="AE188" s="1008">
        <v>111000000</v>
      </c>
      <c r="AF188" s="1008"/>
      <c r="AG188" s="1008"/>
      <c r="AH188" s="1008"/>
      <c r="AI188" s="1008"/>
      <c r="AJ188" s="1008"/>
      <c r="AK188" s="1008"/>
      <c r="AL188" s="1008"/>
      <c r="AM188" s="1008"/>
      <c r="AN188" s="1008"/>
      <c r="AO188" s="1008"/>
      <c r="AP188" s="1008"/>
      <c r="AQ188" s="1008"/>
      <c r="AR188" s="1008"/>
      <c r="AS188" s="1008"/>
      <c r="AU188" s="1011">
        <f t="shared" si="178"/>
        <v>1</v>
      </c>
      <c r="AV188" s="1008">
        <f t="shared" si="174"/>
        <v>111000000</v>
      </c>
      <c r="AW188" s="1008"/>
      <c r="AX188" s="1008"/>
      <c r="AY188" s="1008"/>
      <c r="AZ188" s="1008"/>
      <c r="BA188" s="1008"/>
      <c r="BB188" s="1008">
        <f>+'[18]OCTUBRE 2015'!$O$3273</f>
        <v>111000000</v>
      </c>
      <c r="BC188" s="1008"/>
      <c r="BD188" s="1008"/>
      <c r="BE188" s="1008"/>
      <c r="BF188" s="1008"/>
      <c r="BG188" s="1008"/>
      <c r="BH188" s="1008"/>
      <c r="BI188" s="1008"/>
      <c r="BJ188" s="1008"/>
      <c r="BK188" s="1008"/>
      <c r="BL188" s="1008"/>
      <c r="BM188" s="1008"/>
      <c r="BN188" s="1008"/>
      <c r="BO188" s="1008"/>
      <c r="BP188" s="1008"/>
      <c r="BQ188" s="1011">
        <f t="shared" si="179"/>
        <v>0</v>
      </c>
      <c r="BR188" s="1008">
        <f t="shared" si="175"/>
        <v>0</v>
      </c>
      <c r="BS188" s="1008">
        <f t="shared" si="180"/>
        <v>0</v>
      </c>
      <c r="BT188" s="1008">
        <f t="shared" si="181"/>
        <v>0</v>
      </c>
      <c r="BU188" s="1008"/>
      <c r="BV188" s="1008">
        <f t="shared" si="162"/>
        <v>0</v>
      </c>
      <c r="BW188" s="1008">
        <f t="shared" si="162"/>
        <v>0</v>
      </c>
      <c r="BX188" s="1008">
        <f t="shared" si="182"/>
        <v>0</v>
      </c>
      <c r="BY188" s="1008">
        <f t="shared" si="182"/>
        <v>0</v>
      </c>
      <c r="BZ188" s="1008"/>
      <c r="CA188" s="1008">
        <f t="shared" si="183"/>
        <v>0</v>
      </c>
      <c r="CB188" s="1008">
        <f t="shared" si="183"/>
        <v>0</v>
      </c>
      <c r="CC188" s="1008">
        <f t="shared" si="183"/>
        <v>0</v>
      </c>
      <c r="CD188" s="1008">
        <f t="shared" si="183"/>
        <v>0</v>
      </c>
      <c r="CE188" s="1008">
        <f t="shared" si="183"/>
        <v>0</v>
      </c>
      <c r="CF188" s="1008">
        <f t="shared" si="183"/>
        <v>0</v>
      </c>
      <c r="CG188" s="1008">
        <f t="shared" si="183"/>
        <v>0</v>
      </c>
      <c r="CH188" s="1008">
        <f t="shared" si="183"/>
        <v>0</v>
      </c>
      <c r="CI188" s="1008">
        <f t="shared" si="183"/>
        <v>0</v>
      </c>
      <c r="CJ188" s="1008"/>
      <c r="CK188" s="1008"/>
      <c r="CL188" s="1008">
        <f t="shared" si="184"/>
        <v>0</v>
      </c>
      <c r="CM188" s="1011">
        <f t="shared" si="185"/>
        <v>0.70207207207207212</v>
      </c>
      <c r="CN188" s="1008">
        <f t="shared" si="176"/>
        <v>77930000</v>
      </c>
      <c r="CO188" s="1008"/>
      <c r="CP188" s="1008"/>
      <c r="CQ188" s="1008"/>
      <c r="CR188" s="1008"/>
      <c r="CS188" s="1008"/>
      <c r="CT188" s="1008">
        <f>+'[18]OCTUBRE 2015'!$H$3271</f>
        <v>77930000</v>
      </c>
      <c r="CU188" s="1008"/>
      <c r="CV188" s="1008"/>
      <c r="CW188" s="1008"/>
      <c r="CX188" s="1008"/>
      <c r="CY188" s="1008"/>
      <c r="CZ188" s="1008"/>
      <c r="DA188" s="1008"/>
      <c r="DB188" s="1008"/>
      <c r="DC188" s="1008"/>
      <c r="DD188" s="1008"/>
      <c r="DE188" s="1008"/>
      <c r="DF188" s="1008"/>
      <c r="DG188" s="1008"/>
      <c r="DH188" s="1008"/>
      <c r="DI188" s="1011">
        <f t="shared" si="186"/>
        <v>0.29792792792792788</v>
      </c>
      <c r="DJ188" s="1008">
        <f t="shared" si="177"/>
        <v>33070000</v>
      </c>
      <c r="DK188" s="1008"/>
      <c r="DL188" s="1008"/>
      <c r="DM188" s="1008"/>
      <c r="DN188" s="1008">
        <f t="shared" si="163"/>
        <v>0</v>
      </c>
      <c r="DO188" s="1008">
        <f t="shared" si="163"/>
        <v>0</v>
      </c>
      <c r="DP188" s="1008">
        <f t="shared" si="163"/>
        <v>33070000</v>
      </c>
      <c r="DQ188" s="1008">
        <f t="shared" si="163"/>
        <v>0</v>
      </c>
      <c r="DR188" s="1008"/>
      <c r="DS188" s="1008">
        <f t="shared" si="187"/>
        <v>0</v>
      </c>
      <c r="DT188" s="1008">
        <f t="shared" si="187"/>
        <v>0</v>
      </c>
      <c r="DU188" s="1008"/>
      <c r="DV188" s="1008">
        <f t="shared" si="188"/>
        <v>0</v>
      </c>
      <c r="DW188" s="1008">
        <f t="shared" si="188"/>
        <v>0</v>
      </c>
      <c r="DX188" s="1008">
        <f t="shared" si="188"/>
        <v>0</v>
      </c>
      <c r="DY188" s="1008">
        <f t="shared" si="189"/>
        <v>0</v>
      </c>
      <c r="DZ188" s="1008">
        <f t="shared" si="189"/>
        <v>0</v>
      </c>
      <c r="EA188" s="1008">
        <f t="shared" si="189"/>
        <v>0</v>
      </c>
      <c r="EB188" s="1008">
        <f t="shared" si="189"/>
        <v>0</v>
      </c>
      <c r="EC188" s="1008">
        <f t="shared" si="189"/>
        <v>0</v>
      </c>
      <c r="ED188" s="1008">
        <f t="shared" si="189"/>
        <v>0</v>
      </c>
    </row>
    <row r="189" spans="1:134" ht="34.5" customHeight="1" x14ac:dyDescent="0.25">
      <c r="A189" s="1560"/>
      <c r="B189" s="989"/>
      <c r="C189" s="852" t="s">
        <v>4650</v>
      </c>
      <c r="D189" s="1019" t="s">
        <v>4646</v>
      </c>
      <c r="E189" s="995">
        <v>510</v>
      </c>
      <c r="F189" s="1097" t="s">
        <v>4482</v>
      </c>
      <c r="G189" s="1400"/>
      <c r="H189" s="1061">
        <f t="shared" si="143"/>
        <v>0</v>
      </c>
      <c r="I189" s="1061">
        <f t="shared" si="144"/>
        <v>3000000</v>
      </c>
      <c r="J189" s="1270">
        <v>0</v>
      </c>
      <c r="K189" s="1586">
        <v>1</v>
      </c>
      <c r="L189" s="1305">
        <v>50</v>
      </c>
      <c r="M189" s="1093">
        <v>0</v>
      </c>
      <c r="N189" s="1093">
        <v>0</v>
      </c>
      <c r="O189" s="1093">
        <v>0</v>
      </c>
      <c r="P189" s="1093">
        <v>0</v>
      </c>
      <c r="Q189" s="1093">
        <v>0</v>
      </c>
      <c r="R189" s="1093">
        <v>0</v>
      </c>
      <c r="S189" s="1097"/>
      <c r="T189" s="1097"/>
      <c r="U189" s="1097"/>
      <c r="V189" s="1097"/>
      <c r="W189" s="1097"/>
      <c r="X189" s="1097"/>
      <c r="Y189" s="1008">
        <f t="shared" si="173"/>
        <v>3000000</v>
      </c>
      <c r="Z189" s="944"/>
      <c r="AA189" s="1008"/>
      <c r="AB189" s="1008"/>
      <c r="AC189" s="1008"/>
      <c r="AD189" s="1008"/>
      <c r="AE189" s="1008">
        <v>3000000</v>
      </c>
      <c r="AF189" s="1008"/>
      <c r="AG189" s="1008"/>
      <c r="AH189" s="1008"/>
      <c r="AI189" s="1008"/>
      <c r="AJ189" s="1008"/>
      <c r="AK189" s="1008"/>
      <c r="AL189" s="1008"/>
      <c r="AM189" s="1008"/>
      <c r="AN189" s="1008"/>
      <c r="AO189" s="1008"/>
      <c r="AP189" s="1008"/>
      <c r="AQ189" s="1008"/>
      <c r="AR189" s="1008"/>
      <c r="AS189" s="1008"/>
      <c r="AU189" s="1011">
        <f t="shared" si="178"/>
        <v>0</v>
      </c>
      <c r="AV189" s="1008">
        <f t="shared" si="174"/>
        <v>0</v>
      </c>
      <c r="AW189" s="1008"/>
      <c r="AX189" s="1008"/>
      <c r="AY189" s="1008"/>
      <c r="AZ189" s="1008"/>
      <c r="BA189" s="1008"/>
      <c r="BB189" s="1008"/>
      <c r="BC189" s="1008"/>
      <c r="BD189" s="1008"/>
      <c r="BE189" s="1008"/>
      <c r="BF189" s="1008"/>
      <c r="BG189" s="1008"/>
      <c r="BH189" s="1008"/>
      <c r="BI189" s="1008"/>
      <c r="BJ189" s="1008"/>
      <c r="BK189" s="1008"/>
      <c r="BL189" s="1008"/>
      <c r="BM189" s="1008"/>
      <c r="BN189" s="1008"/>
      <c r="BO189" s="1008"/>
      <c r="BP189" s="1008"/>
      <c r="BQ189" s="1011">
        <f t="shared" si="179"/>
        <v>1</v>
      </c>
      <c r="BR189" s="1008">
        <f t="shared" si="175"/>
        <v>3000000</v>
      </c>
      <c r="BS189" s="1008">
        <f t="shared" si="180"/>
        <v>0</v>
      </c>
      <c r="BT189" s="1008">
        <f t="shared" si="181"/>
        <v>0</v>
      </c>
      <c r="BU189" s="1008"/>
      <c r="BV189" s="1008">
        <f t="shared" si="162"/>
        <v>0</v>
      </c>
      <c r="BW189" s="1008">
        <f t="shared" si="162"/>
        <v>0</v>
      </c>
      <c r="BX189" s="1008">
        <f t="shared" si="182"/>
        <v>3000000</v>
      </c>
      <c r="BY189" s="1008">
        <f t="shared" si="182"/>
        <v>0</v>
      </c>
      <c r="BZ189" s="1008"/>
      <c r="CA189" s="1008">
        <f t="shared" si="183"/>
        <v>0</v>
      </c>
      <c r="CB189" s="1008">
        <f t="shared" si="183"/>
        <v>0</v>
      </c>
      <c r="CC189" s="1008">
        <f t="shared" si="183"/>
        <v>0</v>
      </c>
      <c r="CD189" s="1008">
        <f t="shared" si="183"/>
        <v>0</v>
      </c>
      <c r="CE189" s="1008">
        <f t="shared" si="183"/>
        <v>0</v>
      </c>
      <c r="CF189" s="1008">
        <f t="shared" si="183"/>
        <v>0</v>
      </c>
      <c r="CG189" s="1008">
        <f t="shared" si="183"/>
        <v>0</v>
      </c>
      <c r="CH189" s="1008">
        <f t="shared" si="183"/>
        <v>0</v>
      </c>
      <c r="CI189" s="1008">
        <f t="shared" si="183"/>
        <v>0</v>
      </c>
      <c r="CJ189" s="1008"/>
      <c r="CK189" s="1008"/>
      <c r="CL189" s="1008">
        <f t="shared" si="184"/>
        <v>0</v>
      </c>
      <c r="CM189" s="1011">
        <f t="shared" si="185"/>
        <v>0</v>
      </c>
      <c r="CN189" s="1008">
        <f t="shared" si="176"/>
        <v>0</v>
      </c>
      <c r="CO189" s="1008"/>
      <c r="CP189" s="1008"/>
      <c r="CQ189" s="1008"/>
      <c r="CR189" s="1008"/>
      <c r="CS189" s="1008"/>
      <c r="CT189" s="1008"/>
      <c r="CU189" s="1008"/>
      <c r="CV189" s="1008"/>
      <c r="CW189" s="1008"/>
      <c r="CX189" s="1008"/>
      <c r="CY189" s="1008"/>
      <c r="CZ189" s="1008"/>
      <c r="DA189" s="1008"/>
      <c r="DB189" s="1008"/>
      <c r="DC189" s="1008"/>
      <c r="DD189" s="1008"/>
      <c r="DE189" s="1008"/>
      <c r="DF189" s="1008"/>
      <c r="DG189" s="1008"/>
      <c r="DH189" s="1008"/>
      <c r="DI189" s="1011">
        <f t="shared" si="186"/>
        <v>1</v>
      </c>
      <c r="DJ189" s="1008">
        <f t="shared" si="177"/>
        <v>3000000</v>
      </c>
      <c r="DK189" s="1008"/>
      <c r="DL189" s="1008"/>
      <c r="DM189" s="1008"/>
      <c r="DN189" s="1008">
        <f t="shared" si="163"/>
        <v>0</v>
      </c>
      <c r="DO189" s="1008">
        <f t="shared" si="163"/>
        <v>0</v>
      </c>
      <c r="DP189" s="1008">
        <f t="shared" si="163"/>
        <v>3000000</v>
      </c>
      <c r="DQ189" s="1008">
        <f t="shared" si="163"/>
        <v>0</v>
      </c>
      <c r="DR189" s="1008"/>
      <c r="DS189" s="1008">
        <f t="shared" si="187"/>
        <v>0</v>
      </c>
      <c r="DT189" s="1008">
        <f t="shared" si="187"/>
        <v>0</v>
      </c>
      <c r="DU189" s="1008"/>
      <c r="DV189" s="1008">
        <f t="shared" si="188"/>
        <v>0</v>
      </c>
      <c r="DW189" s="1008">
        <f t="shared" si="188"/>
        <v>0</v>
      </c>
      <c r="DX189" s="1008">
        <f t="shared" si="188"/>
        <v>0</v>
      </c>
      <c r="DY189" s="1008">
        <f t="shared" si="189"/>
        <v>0</v>
      </c>
      <c r="DZ189" s="1008">
        <f t="shared" si="189"/>
        <v>0</v>
      </c>
      <c r="EA189" s="1008">
        <f t="shared" si="189"/>
        <v>0</v>
      </c>
      <c r="EB189" s="1008">
        <f t="shared" si="189"/>
        <v>0</v>
      </c>
      <c r="EC189" s="1008">
        <f t="shared" si="189"/>
        <v>0</v>
      </c>
      <c r="ED189" s="1008">
        <f t="shared" si="189"/>
        <v>0</v>
      </c>
    </row>
    <row r="190" spans="1:134" ht="23.25" customHeight="1" x14ac:dyDescent="0.25">
      <c r="A190" s="1560"/>
      <c r="B190" s="989"/>
      <c r="C190" s="852" t="s">
        <v>4678</v>
      </c>
      <c r="D190" s="1019" t="s">
        <v>4677</v>
      </c>
      <c r="E190" s="995">
        <v>510</v>
      </c>
      <c r="F190" s="1097" t="s">
        <v>4482</v>
      </c>
      <c r="G190" s="1401"/>
      <c r="H190" s="1061">
        <f t="shared" si="143"/>
        <v>80640865</v>
      </c>
      <c r="I190" s="1061">
        <f t="shared" si="144"/>
        <v>19359135</v>
      </c>
      <c r="J190" s="1270"/>
      <c r="K190" s="1586"/>
      <c r="L190" s="1305"/>
      <c r="M190" s="1093">
        <v>9</v>
      </c>
      <c r="N190" s="1093"/>
      <c r="O190" s="1093">
        <v>0</v>
      </c>
      <c r="P190" s="1093">
        <v>56</v>
      </c>
      <c r="Q190" s="1093">
        <v>60</v>
      </c>
      <c r="R190" s="1093">
        <v>33</v>
      </c>
      <c r="S190" s="1097"/>
      <c r="T190" s="1097"/>
      <c r="U190" s="1097"/>
      <c r="V190" s="1097"/>
      <c r="W190" s="1097"/>
      <c r="X190" s="1097"/>
      <c r="Y190" s="1008">
        <f t="shared" si="173"/>
        <v>100000000</v>
      </c>
      <c r="Z190" s="944"/>
      <c r="AA190" s="1008"/>
      <c r="AB190" s="1008"/>
      <c r="AC190" s="1008"/>
      <c r="AD190" s="1008"/>
      <c r="AE190" s="1008"/>
      <c r="AF190" s="1008"/>
      <c r="AG190" s="1008"/>
      <c r="AH190" s="1008"/>
      <c r="AI190" s="1008"/>
      <c r="AJ190" s="1008"/>
      <c r="AK190" s="1008"/>
      <c r="AL190" s="1008"/>
      <c r="AM190" s="1008"/>
      <c r="AN190" s="1008">
        <v>100000000</v>
      </c>
      <c r="AO190" s="1008"/>
      <c r="AP190" s="1008"/>
      <c r="AQ190" s="1008"/>
      <c r="AR190" s="1008"/>
      <c r="AS190" s="1008"/>
      <c r="AU190" s="1011">
        <f t="shared" si="178"/>
        <v>0.99939999999999996</v>
      </c>
      <c r="AV190" s="1008">
        <f t="shared" si="174"/>
        <v>99940000</v>
      </c>
      <c r="AW190" s="1008"/>
      <c r="AX190" s="1008"/>
      <c r="AY190" s="1008"/>
      <c r="AZ190" s="1008"/>
      <c r="BA190" s="1008"/>
      <c r="BB190" s="1008"/>
      <c r="BC190" s="1008"/>
      <c r="BD190" s="1008"/>
      <c r="BE190" s="1008"/>
      <c r="BF190" s="1008"/>
      <c r="BG190" s="1008"/>
      <c r="BH190" s="1008"/>
      <c r="BI190" s="1008"/>
      <c r="BJ190" s="1008"/>
      <c r="BK190" s="1008">
        <f>+'[16]AGOSTO 2015'!$G$2329</f>
        <v>99940000</v>
      </c>
      <c r="BL190" s="1008"/>
      <c r="BM190" s="1008"/>
      <c r="BN190" s="1008"/>
      <c r="BO190" s="1008"/>
      <c r="BP190" s="1008"/>
      <c r="BQ190" s="1011">
        <f t="shared" si="179"/>
        <v>6.0000000000004494E-4</v>
      </c>
      <c r="BR190" s="1008">
        <f t="shared" si="175"/>
        <v>60000</v>
      </c>
      <c r="BS190" s="1008">
        <f t="shared" si="180"/>
        <v>0</v>
      </c>
      <c r="BT190" s="1008">
        <f t="shared" si="181"/>
        <v>0</v>
      </c>
      <c r="BU190" s="1008"/>
      <c r="BV190" s="1008">
        <f t="shared" si="162"/>
        <v>0</v>
      </c>
      <c r="BW190" s="1008">
        <f t="shared" si="162"/>
        <v>0</v>
      </c>
      <c r="BX190" s="1008">
        <f t="shared" si="182"/>
        <v>0</v>
      </c>
      <c r="BY190" s="1008">
        <f t="shared" si="182"/>
        <v>0</v>
      </c>
      <c r="BZ190" s="1008"/>
      <c r="CA190" s="1008">
        <f t="shared" si="183"/>
        <v>0</v>
      </c>
      <c r="CB190" s="1008">
        <f t="shared" si="183"/>
        <v>0</v>
      </c>
      <c r="CC190" s="1008">
        <f t="shared" si="183"/>
        <v>0</v>
      </c>
      <c r="CD190" s="1008">
        <f t="shared" si="183"/>
        <v>0</v>
      </c>
      <c r="CE190" s="1008">
        <f t="shared" si="183"/>
        <v>0</v>
      </c>
      <c r="CF190" s="1008">
        <f t="shared" si="183"/>
        <v>0</v>
      </c>
      <c r="CG190" s="1008">
        <f t="shared" si="183"/>
        <v>60000</v>
      </c>
      <c r="CH190" s="1008">
        <f t="shared" si="183"/>
        <v>0</v>
      </c>
      <c r="CI190" s="1008">
        <f t="shared" si="183"/>
        <v>0</v>
      </c>
      <c r="CJ190" s="1008"/>
      <c r="CK190" s="1008"/>
      <c r="CL190" s="1008">
        <f t="shared" si="184"/>
        <v>0</v>
      </c>
      <c r="CM190" s="1011">
        <f t="shared" si="185"/>
        <v>0.80640864999999995</v>
      </c>
      <c r="CN190" s="1008">
        <f t="shared" si="176"/>
        <v>80640865</v>
      </c>
      <c r="CO190" s="1008"/>
      <c r="CP190" s="1008"/>
      <c r="CQ190" s="1008"/>
      <c r="CR190" s="1008"/>
      <c r="CS190" s="1008"/>
      <c r="CT190" s="1008"/>
      <c r="CU190" s="1008"/>
      <c r="CV190" s="1008"/>
      <c r="CW190" s="1008"/>
      <c r="CX190" s="1008"/>
      <c r="CY190" s="1008"/>
      <c r="CZ190" s="1008"/>
      <c r="DA190" s="1008"/>
      <c r="DB190" s="1008"/>
      <c r="DC190" s="1008">
        <f>+'[17]SEPTIEMBRE 2015'!$H$2839</f>
        <v>80640865</v>
      </c>
      <c r="DD190" s="1008"/>
      <c r="DE190" s="1008"/>
      <c r="DF190" s="1008"/>
      <c r="DG190" s="1008"/>
      <c r="DH190" s="1008"/>
      <c r="DI190" s="1011">
        <f t="shared" si="186"/>
        <v>0.19359135000000005</v>
      </c>
      <c r="DJ190" s="1008">
        <f t="shared" si="177"/>
        <v>19359135</v>
      </c>
      <c r="DK190" s="1008"/>
      <c r="DL190" s="1008"/>
      <c r="DM190" s="1008"/>
      <c r="DN190" s="1008">
        <f t="shared" si="163"/>
        <v>0</v>
      </c>
      <c r="DO190" s="1008">
        <f t="shared" si="163"/>
        <v>0</v>
      </c>
      <c r="DP190" s="1008">
        <f t="shared" si="163"/>
        <v>0</v>
      </c>
      <c r="DQ190" s="1008">
        <f t="shared" si="163"/>
        <v>0</v>
      </c>
      <c r="DR190" s="1008"/>
      <c r="DS190" s="1008">
        <f t="shared" si="187"/>
        <v>0</v>
      </c>
      <c r="DT190" s="1008">
        <f t="shared" si="187"/>
        <v>0</v>
      </c>
      <c r="DU190" s="1008"/>
      <c r="DV190" s="1008">
        <f t="shared" si="188"/>
        <v>0</v>
      </c>
      <c r="DW190" s="1008">
        <f t="shared" si="188"/>
        <v>0</v>
      </c>
      <c r="DX190" s="1008">
        <f t="shared" si="188"/>
        <v>0</v>
      </c>
      <c r="DY190" s="1008">
        <f t="shared" si="189"/>
        <v>19359135</v>
      </c>
      <c r="DZ190" s="1008">
        <f t="shared" si="189"/>
        <v>0</v>
      </c>
      <c r="EA190" s="1008">
        <f t="shared" si="189"/>
        <v>0</v>
      </c>
      <c r="EB190" s="1008">
        <f t="shared" si="189"/>
        <v>0</v>
      </c>
      <c r="EC190" s="1008">
        <f t="shared" si="189"/>
        <v>0</v>
      </c>
      <c r="ED190" s="1008">
        <f t="shared" si="189"/>
        <v>0</v>
      </c>
    </row>
    <row r="191" spans="1:134" s="203" customFormat="1" ht="54" customHeight="1" x14ac:dyDescent="0.25">
      <c r="A191" s="1560"/>
      <c r="B191" s="989" t="s">
        <v>4454</v>
      </c>
      <c r="C191" s="1081" t="s">
        <v>4667</v>
      </c>
      <c r="D191" s="1019" t="s">
        <v>4666</v>
      </c>
      <c r="E191" s="997">
        <v>510</v>
      </c>
      <c r="F191" s="1097" t="s">
        <v>4482</v>
      </c>
      <c r="G191" s="1097">
        <v>5000000</v>
      </c>
      <c r="H191" s="1061">
        <f t="shared" si="143"/>
        <v>0</v>
      </c>
      <c r="I191" s="1061">
        <f t="shared" si="144"/>
        <v>0</v>
      </c>
      <c r="J191" s="1097">
        <v>0</v>
      </c>
      <c r="K191" s="1112">
        <v>1</v>
      </c>
      <c r="L191" s="1093">
        <v>50</v>
      </c>
      <c r="M191" s="1075">
        <v>0</v>
      </c>
      <c r="N191" s="1075">
        <v>0</v>
      </c>
      <c r="O191" s="1075">
        <v>0</v>
      </c>
      <c r="P191" s="1075"/>
      <c r="Q191" s="1075"/>
      <c r="R191" s="1075"/>
      <c r="S191" s="1097"/>
      <c r="T191" s="1097"/>
      <c r="U191" s="1097"/>
      <c r="V191" s="1097"/>
      <c r="W191" s="1097"/>
      <c r="X191" s="1097"/>
      <c r="Y191" s="1067">
        <f t="shared" si="173"/>
        <v>0</v>
      </c>
      <c r="Z191" s="149"/>
      <c r="AA191" s="1067"/>
      <c r="AB191" s="1067"/>
      <c r="AC191" s="1067"/>
      <c r="AD191" s="1067"/>
      <c r="AE191" s="1067">
        <f>5000000-5000000</f>
        <v>0</v>
      </c>
      <c r="AF191" s="1067"/>
      <c r="AG191" s="1067"/>
      <c r="AH191" s="1067"/>
      <c r="AI191" s="1067"/>
      <c r="AJ191" s="1067"/>
      <c r="AK191" s="1067"/>
      <c r="AL191" s="1067"/>
      <c r="AM191" s="1067"/>
      <c r="AN191" s="1067"/>
      <c r="AO191" s="1067"/>
      <c r="AP191" s="1067"/>
      <c r="AQ191" s="1067"/>
      <c r="AR191" s="1067"/>
      <c r="AS191" s="1067"/>
      <c r="AU191" s="1082" t="e">
        <f t="shared" si="178"/>
        <v>#DIV/0!</v>
      </c>
      <c r="AV191" s="1067">
        <f t="shared" si="174"/>
        <v>0</v>
      </c>
      <c r="AW191" s="1067"/>
      <c r="AX191" s="1067"/>
      <c r="AY191" s="1067"/>
      <c r="AZ191" s="1067"/>
      <c r="BA191" s="1067"/>
      <c r="BB191" s="1067"/>
      <c r="BC191" s="1067"/>
      <c r="BD191" s="1067"/>
      <c r="BE191" s="1067"/>
      <c r="BF191" s="1067"/>
      <c r="BG191" s="1067"/>
      <c r="BH191" s="1067"/>
      <c r="BI191" s="1067"/>
      <c r="BJ191" s="1067"/>
      <c r="BK191" s="1067"/>
      <c r="BL191" s="1067"/>
      <c r="BM191" s="1067"/>
      <c r="BN191" s="1067"/>
      <c r="BO191" s="1067"/>
      <c r="BP191" s="1067"/>
      <c r="BQ191" s="1082" t="e">
        <f t="shared" si="179"/>
        <v>#DIV/0!</v>
      </c>
      <c r="BR191" s="1067">
        <f t="shared" si="175"/>
        <v>0</v>
      </c>
      <c r="BS191" s="1067">
        <f t="shared" si="180"/>
        <v>0</v>
      </c>
      <c r="BT191" s="1067">
        <f t="shared" si="181"/>
        <v>0</v>
      </c>
      <c r="BU191" s="1067"/>
      <c r="BV191" s="1067">
        <f t="shared" si="162"/>
        <v>0</v>
      </c>
      <c r="BW191" s="1067">
        <f t="shared" si="162"/>
        <v>0</v>
      </c>
      <c r="BX191" s="1067">
        <f t="shared" si="182"/>
        <v>0</v>
      </c>
      <c r="BY191" s="1067">
        <f t="shared" si="182"/>
        <v>0</v>
      </c>
      <c r="BZ191" s="1067"/>
      <c r="CA191" s="1067">
        <f t="shared" si="183"/>
        <v>0</v>
      </c>
      <c r="CB191" s="1067">
        <f t="shared" si="183"/>
        <v>0</v>
      </c>
      <c r="CC191" s="1067">
        <f t="shared" si="183"/>
        <v>0</v>
      </c>
      <c r="CD191" s="1067">
        <f t="shared" si="183"/>
        <v>0</v>
      </c>
      <c r="CE191" s="1067">
        <f t="shared" si="183"/>
        <v>0</v>
      </c>
      <c r="CF191" s="1067">
        <f t="shared" si="183"/>
        <v>0</v>
      </c>
      <c r="CG191" s="1067">
        <f t="shared" si="183"/>
        <v>0</v>
      </c>
      <c r="CH191" s="1067">
        <f t="shared" si="183"/>
        <v>0</v>
      </c>
      <c r="CI191" s="1067">
        <f t="shared" si="183"/>
        <v>0</v>
      </c>
      <c r="CJ191" s="1067"/>
      <c r="CK191" s="1067"/>
      <c r="CL191" s="1067">
        <f t="shared" si="184"/>
        <v>0</v>
      </c>
      <c r="CM191" s="1082" t="e">
        <f t="shared" si="185"/>
        <v>#DIV/0!</v>
      </c>
      <c r="CN191" s="1067">
        <f t="shared" si="176"/>
        <v>0</v>
      </c>
      <c r="CO191" s="1067"/>
      <c r="CP191" s="1067"/>
      <c r="CQ191" s="1067"/>
      <c r="CR191" s="1067"/>
      <c r="CS191" s="1067"/>
      <c r="CT191" s="1067"/>
      <c r="CU191" s="1067"/>
      <c r="CV191" s="1067"/>
      <c r="CW191" s="1067"/>
      <c r="CX191" s="1067"/>
      <c r="CY191" s="1067"/>
      <c r="CZ191" s="1067"/>
      <c r="DA191" s="1067"/>
      <c r="DB191" s="1067"/>
      <c r="DC191" s="1067"/>
      <c r="DD191" s="1067"/>
      <c r="DE191" s="1067"/>
      <c r="DF191" s="1067"/>
      <c r="DG191" s="1067"/>
      <c r="DH191" s="1067"/>
      <c r="DI191" s="1082" t="e">
        <f t="shared" si="186"/>
        <v>#DIV/0!</v>
      </c>
      <c r="DJ191" s="1067">
        <f t="shared" si="177"/>
        <v>0</v>
      </c>
      <c r="DK191" s="1067"/>
      <c r="DL191" s="1067"/>
      <c r="DM191" s="1067"/>
      <c r="DN191" s="1067">
        <f t="shared" si="163"/>
        <v>0</v>
      </c>
      <c r="DO191" s="1067">
        <f t="shared" si="163"/>
        <v>0</v>
      </c>
      <c r="DP191" s="1067">
        <f t="shared" si="163"/>
        <v>0</v>
      </c>
      <c r="DQ191" s="1067">
        <f t="shared" si="163"/>
        <v>0</v>
      </c>
      <c r="DR191" s="1067"/>
      <c r="DS191" s="1067">
        <f t="shared" si="187"/>
        <v>0</v>
      </c>
      <c r="DT191" s="1067">
        <f t="shared" si="187"/>
        <v>0</v>
      </c>
      <c r="DU191" s="1067"/>
      <c r="DV191" s="1067">
        <f t="shared" si="188"/>
        <v>0</v>
      </c>
      <c r="DW191" s="1067">
        <f t="shared" si="188"/>
        <v>0</v>
      </c>
      <c r="DX191" s="1067">
        <f t="shared" si="188"/>
        <v>0</v>
      </c>
      <c r="DY191" s="1067">
        <f t="shared" si="189"/>
        <v>0</v>
      </c>
      <c r="DZ191" s="1067">
        <f t="shared" si="189"/>
        <v>0</v>
      </c>
      <c r="EA191" s="1067">
        <f t="shared" si="189"/>
        <v>0</v>
      </c>
      <c r="EB191" s="1067">
        <f t="shared" si="189"/>
        <v>0</v>
      </c>
      <c r="EC191" s="1067">
        <f t="shared" si="189"/>
        <v>0</v>
      </c>
      <c r="ED191" s="1067">
        <f t="shared" si="189"/>
        <v>0</v>
      </c>
    </row>
    <row r="192" spans="1:134" ht="48.75" customHeight="1" x14ac:dyDescent="0.25">
      <c r="A192" s="1560"/>
      <c r="B192" s="989" t="s">
        <v>4455</v>
      </c>
      <c r="C192" s="1094" t="s">
        <v>4664</v>
      </c>
      <c r="D192" s="1019" t="s">
        <v>4663</v>
      </c>
      <c r="E192" s="995">
        <v>310</v>
      </c>
      <c r="F192" s="1097" t="s">
        <v>4482</v>
      </c>
      <c r="G192" s="1399">
        <v>287000000</v>
      </c>
      <c r="H192" s="1061">
        <f t="shared" si="143"/>
        <v>194853743</v>
      </c>
      <c r="I192" s="1061">
        <f t="shared" si="144"/>
        <v>78490678</v>
      </c>
      <c r="J192" s="1270">
        <v>180</v>
      </c>
      <c r="K192" s="1305">
        <v>206</v>
      </c>
      <c r="L192" s="1305">
        <v>206</v>
      </c>
      <c r="M192" s="1093">
        <v>18</v>
      </c>
      <c r="N192" s="1093">
        <v>32</v>
      </c>
      <c r="O192" s="1093">
        <v>6</v>
      </c>
      <c r="P192" s="1093">
        <v>53</v>
      </c>
      <c r="Q192" s="1093">
        <v>32</v>
      </c>
      <c r="R192" s="1093">
        <v>17</v>
      </c>
      <c r="S192" s="1097"/>
      <c r="T192" s="1097"/>
      <c r="U192" s="1097"/>
      <c r="V192" s="1097"/>
      <c r="W192" s="1097"/>
      <c r="X192" s="1097"/>
      <c r="Y192" s="1008">
        <f t="shared" si="173"/>
        <v>273344421</v>
      </c>
      <c r="Z192" s="944"/>
      <c r="AA192" s="1008"/>
      <c r="AB192" s="1008"/>
      <c r="AC192" s="1008"/>
      <c r="AD192" s="1008"/>
      <c r="AE192" s="1008"/>
      <c r="AF192" s="1008"/>
      <c r="AG192" s="1008"/>
      <c r="AH192" s="1008"/>
      <c r="AI192" s="1008"/>
      <c r="AJ192" s="1008"/>
      <c r="AK192" s="1008"/>
      <c r="AL192" s="1008"/>
      <c r="AM192" s="1008"/>
      <c r="AN192" s="1008"/>
      <c r="AO192" s="1008">
        <f>273344421</f>
        <v>273344421</v>
      </c>
      <c r="AP192" s="1008"/>
      <c r="AQ192" s="1008"/>
      <c r="AR192" s="1008"/>
      <c r="AS192" s="1008"/>
      <c r="AU192" s="1011">
        <f t="shared" si="178"/>
        <v>1</v>
      </c>
      <c r="AV192" s="1008">
        <f t="shared" si="174"/>
        <v>273344421</v>
      </c>
      <c r="AW192" s="1008"/>
      <c r="AX192" s="1008"/>
      <c r="AY192" s="1008"/>
      <c r="AZ192" s="1008"/>
      <c r="BA192" s="1008"/>
      <c r="BB192" s="1008"/>
      <c r="BC192" s="1008"/>
      <c r="BD192" s="1008"/>
      <c r="BE192" s="1008"/>
      <c r="BF192" s="1008"/>
      <c r="BG192" s="1008"/>
      <c r="BH192" s="1008"/>
      <c r="BI192" s="1008"/>
      <c r="BJ192" s="1008"/>
      <c r="BK192" s="1008"/>
      <c r="BL192" s="1008">
        <f>+'[8]FEBRERO 2015'!$X$334</f>
        <v>273344421</v>
      </c>
      <c r="BM192" s="1008"/>
      <c r="BN192" s="1008"/>
      <c r="BO192" s="1008"/>
      <c r="BP192" s="1008"/>
      <c r="BQ192" s="1011">
        <f t="shared" si="179"/>
        <v>0</v>
      </c>
      <c r="BR192" s="1008">
        <f t="shared" si="175"/>
        <v>0</v>
      </c>
      <c r="BS192" s="1008">
        <f t="shared" si="180"/>
        <v>0</v>
      </c>
      <c r="BT192" s="1008">
        <f t="shared" si="181"/>
        <v>0</v>
      </c>
      <c r="BU192" s="1008"/>
      <c r="BV192" s="1008">
        <f t="shared" si="162"/>
        <v>0</v>
      </c>
      <c r="BW192" s="1008">
        <f t="shared" si="162"/>
        <v>0</v>
      </c>
      <c r="BX192" s="1008">
        <f t="shared" si="182"/>
        <v>0</v>
      </c>
      <c r="BY192" s="1008">
        <f t="shared" si="182"/>
        <v>0</v>
      </c>
      <c r="BZ192" s="1008"/>
      <c r="CA192" s="1008">
        <f t="shared" si="183"/>
        <v>0</v>
      </c>
      <c r="CB192" s="1008">
        <f t="shared" si="183"/>
        <v>0</v>
      </c>
      <c r="CC192" s="1008">
        <f t="shared" si="183"/>
        <v>0</v>
      </c>
      <c r="CD192" s="1008">
        <f t="shared" si="183"/>
        <v>0</v>
      </c>
      <c r="CE192" s="1008">
        <f t="shared" si="183"/>
        <v>0</v>
      </c>
      <c r="CF192" s="1008">
        <f t="shared" si="183"/>
        <v>0</v>
      </c>
      <c r="CG192" s="1008">
        <f t="shared" si="183"/>
        <v>0</v>
      </c>
      <c r="CH192" s="1008">
        <f t="shared" si="183"/>
        <v>0</v>
      </c>
      <c r="CI192" s="1008">
        <f t="shared" si="183"/>
        <v>0</v>
      </c>
      <c r="CJ192" s="1008"/>
      <c r="CK192" s="1008"/>
      <c r="CL192" s="1008">
        <f t="shared" si="184"/>
        <v>0</v>
      </c>
      <c r="CM192" s="1011">
        <f t="shared" si="185"/>
        <v>0.71285063103592661</v>
      </c>
      <c r="CN192" s="1008">
        <f t="shared" si="176"/>
        <v>194853743</v>
      </c>
      <c r="CO192" s="1008"/>
      <c r="CP192" s="1008"/>
      <c r="CQ192" s="1008"/>
      <c r="CR192" s="1008"/>
      <c r="CS192" s="1008"/>
      <c r="CT192" s="1008"/>
      <c r="CU192" s="1008"/>
      <c r="CV192" s="1008"/>
      <c r="CW192" s="1008"/>
      <c r="CX192" s="1008"/>
      <c r="CY192" s="1008"/>
      <c r="CZ192" s="1008"/>
      <c r="DA192" s="1008"/>
      <c r="DB192" s="1008"/>
      <c r="DC192" s="1008"/>
      <c r="DD192" s="1008">
        <f>+'[18]OCTUBRE 2015'!$H$950</f>
        <v>194853743</v>
      </c>
      <c r="DE192" s="1008"/>
      <c r="DF192" s="1008"/>
      <c r="DG192" s="1008"/>
      <c r="DH192" s="1008"/>
      <c r="DI192" s="1011">
        <f t="shared" si="186"/>
        <v>0.28714936896407339</v>
      </c>
      <c r="DJ192" s="1008">
        <f t="shared" si="177"/>
        <v>78490678</v>
      </c>
      <c r="DK192" s="1008"/>
      <c r="DL192" s="1008"/>
      <c r="DM192" s="1008"/>
      <c r="DN192" s="1008">
        <f t="shared" si="163"/>
        <v>0</v>
      </c>
      <c r="DO192" s="1008">
        <f t="shared" si="163"/>
        <v>0</v>
      </c>
      <c r="DP192" s="1008">
        <f t="shared" si="163"/>
        <v>0</v>
      </c>
      <c r="DQ192" s="1008">
        <f t="shared" si="163"/>
        <v>0</v>
      </c>
      <c r="DR192" s="1008"/>
      <c r="DS192" s="1008">
        <f t="shared" si="187"/>
        <v>0</v>
      </c>
      <c r="DT192" s="1008">
        <f t="shared" si="187"/>
        <v>0</v>
      </c>
      <c r="DU192" s="1008"/>
      <c r="DV192" s="1008">
        <f t="shared" si="188"/>
        <v>0</v>
      </c>
      <c r="DW192" s="1008">
        <f t="shared" si="188"/>
        <v>0</v>
      </c>
      <c r="DX192" s="1008">
        <f t="shared" si="188"/>
        <v>0</v>
      </c>
      <c r="DY192" s="1008">
        <f t="shared" si="189"/>
        <v>0</v>
      </c>
      <c r="DZ192" s="1008">
        <f t="shared" si="189"/>
        <v>78490678</v>
      </c>
      <c r="EA192" s="1008">
        <f t="shared" si="189"/>
        <v>0</v>
      </c>
      <c r="EB192" s="1008">
        <f t="shared" si="189"/>
        <v>0</v>
      </c>
      <c r="EC192" s="1008">
        <f t="shared" si="189"/>
        <v>0</v>
      </c>
      <c r="ED192" s="1008">
        <f t="shared" si="189"/>
        <v>0</v>
      </c>
    </row>
    <row r="193" spans="1:134" ht="45" customHeight="1" x14ac:dyDescent="0.25">
      <c r="A193" s="1560"/>
      <c r="B193" s="1007"/>
      <c r="C193" s="1094" t="s">
        <v>4665</v>
      </c>
      <c r="D193" s="1019" t="s">
        <v>4546</v>
      </c>
      <c r="E193" s="1050">
        <v>310</v>
      </c>
      <c r="F193" s="1097" t="s">
        <v>4547</v>
      </c>
      <c r="G193" s="1401"/>
      <c r="H193" s="1061">
        <f t="shared" si="143"/>
        <v>11972498</v>
      </c>
      <c r="I193" s="1061">
        <f t="shared" si="144"/>
        <v>18027502</v>
      </c>
      <c r="J193" s="1270"/>
      <c r="K193" s="1305"/>
      <c r="L193" s="1305"/>
      <c r="M193" s="1093">
        <v>13</v>
      </c>
      <c r="N193" s="1093">
        <v>0</v>
      </c>
      <c r="O193" s="1093">
        <v>0</v>
      </c>
      <c r="P193" s="1093">
        <v>16</v>
      </c>
      <c r="Q193" s="1093">
        <v>0</v>
      </c>
      <c r="R193" s="1093">
        <v>0</v>
      </c>
      <c r="S193" s="1097"/>
      <c r="T193" s="1097"/>
      <c r="U193" s="1097"/>
      <c r="V193" s="1097"/>
      <c r="W193" s="1097"/>
      <c r="X193" s="1097"/>
      <c r="Y193" s="1008">
        <f t="shared" si="173"/>
        <v>30000000</v>
      </c>
      <c r="Z193" s="996"/>
      <c r="AA193" s="996"/>
      <c r="AB193" s="996"/>
      <c r="AC193" s="996"/>
      <c r="AD193" s="996"/>
      <c r="AE193" s="996"/>
      <c r="AF193" s="996"/>
      <c r="AG193" s="996"/>
      <c r="AH193" s="996"/>
      <c r="AI193" s="241"/>
      <c r="AJ193" s="241"/>
      <c r="AK193" s="241"/>
      <c r="AL193" s="241"/>
      <c r="AM193" s="241"/>
      <c r="AN193" s="996"/>
      <c r="AO193" s="996"/>
      <c r="AP193" s="996"/>
      <c r="AQ193" s="996"/>
      <c r="AR193" s="996"/>
      <c r="AS193" s="1008">
        <f>10000000+4000000+16000000</f>
        <v>30000000</v>
      </c>
      <c r="AU193" s="1011">
        <f t="shared" si="178"/>
        <v>0.66666666666666663</v>
      </c>
      <c r="AV193" s="1008">
        <f t="shared" si="174"/>
        <v>20000000</v>
      </c>
      <c r="AW193" s="1008"/>
      <c r="AX193" s="1008"/>
      <c r="AY193" s="1008"/>
      <c r="AZ193" s="1008"/>
      <c r="BA193" s="1008"/>
      <c r="BB193" s="1008"/>
      <c r="BC193" s="1008"/>
      <c r="BD193" s="1008"/>
      <c r="BE193" s="1008"/>
      <c r="BF193" s="1008"/>
      <c r="BG193" s="1008"/>
      <c r="BH193" s="1008"/>
      <c r="BI193" s="1008"/>
      <c r="BJ193" s="1008"/>
      <c r="BK193" s="1008"/>
      <c r="BL193" s="1008"/>
      <c r="BM193" s="1008"/>
      <c r="BN193" s="1008"/>
      <c r="BO193" s="1008"/>
      <c r="BP193" s="1008">
        <f>+'[15]JULIO 2015'!$G$716</f>
        <v>20000000</v>
      </c>
      <c r="BQ193" s="1011">
        <f t="shared" si="179"/>
        <v>0.33333333333333337</v>
      </c>
      <c r="BR193" s="1008">
        <f t="shared" si="175"/>
        <v>10000000</v>
      </c>
      <c r="BS193" s="1008">
        <f t="shared" si="180"/>
        <v>0</v>
      </c>
      <c r="BT193" s="1008">
        <f t="shared" si="181"/>
        <v>0</v>
      </c>
      <c r="BU193" s="1008"/>
      <c r="BV193" s="1008">
        <f t="shared" si="162"/>
        <v>0</v>
      </c>
      <c r="BW193" s="1008">
        <f t="shared" si="162"/>
        <v>0</v>
      </c>
      <c r="BX193" s="1008">
        <f t="shared" si="182"/>
        <v>0</v>
      </c>
      <c r="BY193" s="1008">
        <f t="shared" si="182"/>
        <v>0</v>
      </c>
      <c r="BZ193" s="1008"/>
      <c r="CA193" s="1008">
        <f t="shared" si="183"/>
        <v>0</v>
      </c>
      <c r="CB193" s="1008">
        <f t="shared" si="183"/>
        <v>0</v>
      </c>
      <c r="CC193" s="1008">
        <f t="shared" si="183"/>
        <v>0</v>
      </c>
      <c r="CD193" s="1008">
        <f t="shared" si="183"/>
        <v>0</v>
      </c>
      <c r="CE193" s="1008">
        <f t="shared" si="183"/>
        <v>0</v>
      </c>
      <c r="CF193" s="1008">
        <f t="shared" si="183"/>
        <v>0</v>
      </c>
      <c r="CG193" s="1008">
        <f t="shared" si="183"/>
        <v>0</v>
      </c>
      <c r="CH193" s="1008">
        <f t="shared" si="183"/>
        <v>0</v>
      </c>
      <c r="CI193" s="1008">
        <f t="shared" si="183"/>
        <v>0</v>
      </c>
      <c r="CJ193" s="1008"/>
      <c r="CK193" s="1008"/>
      <c r="CL193" s="1008">
        <f t="shared" ref="CL193:CL194" si="190">+AS193-BP193</f>
        <v>10000000</v>
      </c>
      <c r="CM193" s="1011">
        <f t="shared" si="185"/>
        <v>0.39908326666666666</v>
      </c>
      <c r="CN193" s="1008">
        <f t="shared" si="176"/>
        <v>11972498</v>
      </c>
      <c r="CO193" s="1008"/>
      <c r="CP193" s="1008"/>
      <c r="CQ193" s="1008"/>
      <c r="CR193" s="1008"/>
      <c r="CS193" s="1008"/>
      <c r="CT193" s="1008"/>
      <c r="CU193" s="1008"/>
      <c r="CV193" s="1008"/>
      <c r="CW193" s="1008"/>
      <c r="CX193" s="1008"/>
      <c r="CY193" s="1008"/>
      <c r="CZ193" s="1008"/>
      <c r="DA193" s="1008"/>
      <c r="DB193" s="1008"/>
      <c r="DC193" s="1008"/>
      <c r="DD193" s="1008"/>
      <c r="DE193" s="1008"/>
      <c r="DF193" s="1008"/>
      <c r="DG193" s="1008"/>
      <c r="DH193" s="1008">
        <f>+'[17]SEPTIEMBRE 2015'!$H$938</f>
        <v>11972498</v>
      </c>
      <c r="DI193" s="1011">
        <f t="shared" si="186"/>
        <v>0.6009167333333334</v>
      </c>
      <c r="DJ193" s="1008">
        <f t="shared" si="177"/>
        <v>18027502</v>
      </c>
      <c r="DK193" s="1008"/>
      <c r="DL193" s="1008"/>
      <c r="DM193" s="1008"/>
      <c r="DN193" s="1008">
        <f t="shared" si="163"/>
        <v>0</v>
      </c>
      <c r="DO193" s="1008">
        <f t="shared" si="163"/>
        <v>0</v>
      </c>
      <c r="DP193" s="1008">
        <f t="shared" si="163"/>
        <v>0</v>
      </c>
      <c r="DQ193" s="1008">
        <f t="shared" si="163"/>
        <v>0</v>
      </c>
      <c r="DR193" s="1008"/>
      <c r="DS193" s="1008">
        <f t="shared" si="187"/>
        <v>0</v>
      </c>
      <c r="DT193" s="1008">
        <f t="shared" si="187"/>
        <v>0</v>
      </c>
      <c r="DU193" s="1008"/>
      <c r="DV193" s="1008">
        <f t="shared" si="188"/>
        <v>0</v>
      </c>
      <c r="DW193" s="1008">
        <f t="shared" si="188"/>
        <v>0</v>
      </c>
      <c r="DX193" s="1008">
        <f t="shared" si="188"/>
        <v>0</v>
      </c>
      <c r="DY193" s="1008">
        <f t="shared" si="189"/>
        <v>0</v>
      </c>
      <c r="DZ193" s="1008">
        <f t="shared" si="189"/>
        <v>0</v>
      </c>
      <c r="EA193" s="1008">
        <f t="shared" si="189"/>
        <v>0</v>
      </c>
      <c r="EB193" s="1008">
        <f t="shared" si="189"/>
        <v>0</v>
      </c>
      <c r="EC193" s="1008">
        <f t="shared" si="189"/>
        <v>0</v>
      </c>
      <c r="ED193" s="1008">
        <f t="shared" si="189"/>
        <v>18027502</v>
      </c>
    </row>
    <row r="194" spans="1:134" s="203" customFormat="1" ht="24" customHeight="1" x14ac:dyDescent="0.25">
      <c r="A194" s="1560"/>
      <c r="B194" s="1007"/>
      <c r="C194" s="1081" t="s">
        <v>4680</v>
      </c>
      <c r="D194" s="1019" t="s">
        <v>4681</v>
      </c>
      <c r="E194" s="997">
        <v>111</v>
      </c>
      <c r="F194" s="1097" t="s">
        <v>4482</v>
      </c>
      <c r="G194" s="1097"/>
      <c r="H194" s="1061">
        <f t="shared" ref="H194" si="191">+CN194</f>
        <v>0</v>
      </c>
      <c r="I194" s="1061">
        <f t="shared" ref="I194" si="192">Y194-H194</f>
        <v>0</v>
      </c>
      <c r="J194" s="771"/>
      <c r="K194" s="1097"/>
      <c r="L194" s="1097"/>
      <c r="M194" s="1071"/>
      <c r="N194" s="1071"/>
      <c r="O194" s="1071"/>
      <c r="P194" s="1071"/>
      <c r="Q194" s="1071"/>
      <c r="R194" s="1071"/>
      <c r="S194" s="1097"/>
      <c r="T194" s="1097"/>
      <c r="U194" s="1097"/>
      <c r="V194" s="1097"/>
      <c r="W194" s="1097"/>
      <c r="X194" s="1097"/>
      <c r="Y194" s="1067">
        <f>SUM(AA194:AS194)</f>
        <v>0</v>
      </c>
      <c r="Z194" s="241"/>
      <c r="AA194" s="241"/>
      <c r="AB194" s="241"/>
      <c r="AC194" s="241">
        <f>417803755-417803755</f>
        <v>0</v>
      </c>
      <c r="AD194" s="241"/>
      <c r="AE194" s="241"/>
      <c r="AF194" s="241"/>
      <c r="AG194" s="241"/>
      <c r="AH194" s="241"/>
      <c r="AI194" s="241"/>
      <c r="AJ194" s="241"/>
      <c r="AK194" s="241"/>
      <c r="AL194" s="241"/>
      <c r="AM194" s="241"/>
      <c r="AN194" s="241"/>
      <c r="AO194" s="241"/>
      <c r="AP194" s="241"/>
      <c r="AQ194" s="241"/>
      <c r="AR194" s="241"/>
      <c r="AS194" s="1067"/>
      <c r="AU194" s="1082" t="e">
        <f t="shared" si="178"/>
        <v>#DIV/0!</v>
      </c>
      <c r="AV194" s="1067">
        <f t="shared" ref="AV194" si="193">SUM(AW194:BP194)</f>
        <v>0</v>
      </c>
      <c r="AW194" s="1067"/>
      <c r="AX194" s="1067"/>
      <c r="AY194" s="1067"/>
      <c r="AZ194" s="1067"/>
      <c r="BA194" s="1067"/>
      <c r="BB194" s="1067"/>
      <c r="BC194" s="1067"/>
      <c r="BD194" s="1067"/>
      <c r="BE194" s="1067"/>
      <c r="BF194" s="1067"/>
      <c r="BG194" s="1067"/>
      <c r="BH194" s="1067"/>
      <c r="BI194" s="1067"/>
      <c r="BJ194" s="1067"/>
      <c r="BK194" s="1067"/>
      <c r="BL194" s="1067"/>
      <c r="BM194" s="1067"/>
      <c r="BN194" s="1067"/>
      <c r="BO194" s="1067"/>
      <c r="BP194" s="1067"/>
      <c r="BQ194" s="1082" t="e">
        <f t="shared" si="179"/>
        <v>#DIV/0!</v>
      </c>
      <c r="BR194" s="1067">
        <f t="shared" si="175"/>
        <v>0</v>
      </c>
      <c r="BS194" s="1067">
        <f t="shared" si="180"/>
        <v>0</v>
      </c>
      <c r="BT194" s="1067">
        <f t="shared" si="181"/>
        <v>0</v>
      </c>
      <c r="BU194" s="1067"/>
      <c r="BV194" s="1067">
        <f t="shared" si="162"/>
        <v>0</v>
      </c>
      <c r="BW194" s="1067">
        <f t="shared" si="162"/>
        <v>0</v>
      </c>
      <c r="BX194" s="1067">
        <f t="shared" si="182"/>
        <v>0</v>
      </c>
      <c r="BY194" s="1067">
        <f t="shared" si="182"/>
        <v>0</v>
      </c>
      <c r="BZ194" s="1067"/>
      <c r="CA194" s="1067">
        <f t="shared" si="183"/>
        <v>0</v>
      </c>
      <c r="CB194" s="1067">
        <f t="shared" si="183"/>
        <v>0</v>
      </c>
      <c r="CC194" s="1067">
        <f t="shared" si="183"/>
        <v>0</v>
      </c>
      <c r="CD194" s="1067">
        <f t="shared" si="183"/>
        <v>0</v>
      </c>
      <c r="CE194" s="1067">
        <f t="shared" si="183"/>
        <v>0</v>
      </c>
      <c r="CF194" s="1067">
        <f t="shared" si="183"/>
        <v>0</v>
      </c>
      <c r="CG194" s="1067">
        <f t="shared" si="183"/>
        <v>0</v>
      </c>
      <c r="CH194" s="1067">
        <f t="shared" si="183"/>
        <v>0</v>
      </c>
      <c r="CI194" s="1067">
        <f t="shared" si="183"/>
        <v>0</v>
      </c>
      <c r="CJ194" s="1067"/>
      <c r="CK194" s="1067"/>
      <c r="CL194" s="1067">
        <f t="shared" si="190"/>
        <v>0</v>
      </c>
      <c r="CM194" s="1082" t="e">
        <f t="shared" si="185"/>
        <v>#DIV/0!</v>
      </c>
      <c r="CN194" s="1067">
        <f t="shared" si="176"/>
        <v>0</v>
      </c>
      <c r="CO194" s="1067"/>
      <c r="CP194" s="1067"/>
      <c r="CQ194" s="1067"/>
      <c r="CR194" s="1067"/>
      <c r="CS194" s="1067"/>
      <c r="CT194" s="1067"/>
      <c r="CU194" s="1067"/>
      <c r="CV194" s="1067"/>
      <c r="CW194" s="1067"/>
      <c r="CX194" s="1067"/>
      <c r="CY194" s="1067"/>
      <c r="CZ194" s="1067"/>
      <c r="DA194" s="1067"/>
      <c r="DB194" s="1067"/>
      <c r="DC194" s="1067"/>
      <c r="DD194" s="1067"/>
      <c r="DE194" s="1067"/>
      <c r="DF194" s="1067"/>
      <c r="DG194" s="1067"/>
      <c r="DH194" s="1067"/>
      <c r="DI194" s="1082" t="e">
        <f t="shared" si="186"/>
        <v>#DIV/0!</v>
      </c>
      <c r="DJ194" s="1067">
        <f t="shared" si="177"/>
        <v>0</v>
      </c>
      <c r="DK194" s="1067"/>
      <c r="DL194" s="1067"/>
      <c r="DM194" s="1067"/>
      <c r="DN194" s="1067">
        <f t="shared" si="163"/>
        <v>0</v>
      </c>
      <c r="DO194" s="1067">
        <f t="shared" si="163"/>
        <v>0</v>
      </c>
      <c r="DP194" s="1067">
        <f t="shared" si="163"/>
        <v>0</v>
      </c>
      <c r="DQ194" s="1067">
        <f t="shared" si="163"/>
        <v>0</v>
      </c>
      <c r="DR194" s="1067"/>
      <c r="DS194" s="1067">
        <f t="shared" si="187"/>
        <v>0</v>
      </c>
      <c r="DT194" s="1067">
        <f t="shared" si="187"/>
        <v>0</v>
      </c>
      <c r="DU194" s="1067"/>
      <c r="DV194" s="1067">
        <f t="shared" si="188"/>
        <v>0</v>
      </c>
      <c r="DW194" s="1067">
        <f t="shared" si="188"/>
        <v>0</v>
      </c>
      <c r="DX194" s="1067">
        <f t="shared" si="188"/>
        <v>0</v>
      </c>
      <c r="DY194" s="1067">
        <f t="shared" si="189"/>
        <v>0</v>
      </c>
      <c r="DZ194" s="1067">
        <f t="shared" si="189"/>
        <v>0</v>
      </c>
      <c r="EA194" s="1067">
        <f t="shared" si="189"/>
        <v>0</v>
      </c>
      <c r="EB194" s="1067">
        <f t="shared" si="189"/>
        <v>0</v>
      </c>
      <c r="EC194" s="1067">
        <f t="shared" si="189"/>
        <v>0</v>
      </c>
      <c r="ED194" s="1067">
        <f t="shared" si="189"/>
        <v>0</v>
      </c>
    </row>
    <row r="195" spans="1:134" s="948" customFormat="1" ht="25.5" customHeight="1" thickBot="1" x14ac:dyDescent="0.3">
      <c r="A195" s="1059"/>
      <c r="B195" s="1535" t="s">
        <v>4456</v>
      </c>
      <c r="C195" s="1536"/>
      <c r="D195" s="1537"/>
      <c r="E195" s="1003"/>
      <c r="F195" s="1004"/>
      <c r="G195" s="1064">
        <f>SUM(G130:G194)</f>
        <v>20835000000</v>
      </c>
      <c r="H195" s="1064">
        <f>SUM(H130:H194)</f>
        <v>5216574148</v>
      </c>
      <c r="I195" s="1064">
        <f>SUM(I130:I194)</f>
        <v>5915139592</v>
      </c>
      <c r="J195" s="1004"/>
      <c r="K195" s="1004"/>
      <c r="L195" s="1004"/>
      <c r="M195" s="1004"/>
      <c r="N195" s="1004"/>
      <c r="O195" s="1004"/>
      <c r="P195" s="1004"/>
      <c r="Q195" s="1004"/>
      <c r="R195" s="1004"/>
      <c r="S195" s="1004"/>
      <c r="T195" s="1004"/>
      <c r="U195" s="1004"/>
      <c r="V195" s="1004"/>
      <c r="W195" s="1004"/>
      <c r="X195" s="1004"/>
      <c r="Y195" s="1009">
        <f t="shared" ref="Y195:AS195" si="194">SUM(Y130:Y194)</f>
        <v>11131713740</v>
      </c>
      <c r="Z195" s="1009">
        <f t="shared" si="194"/>
        <v>0</v>
      </c>
      <c r="AA195" s="1009">
        <f t="shared" si="194"/>
        <v>0</v>
      </c>
      <c r="AB195" s="1009">
        <f t="shared" si="194"/>
        <v>0</v>
      </c>
      <c r="AC195" s="1009">
        <f t="shared" si="194"/>
        <v>9036421581</v>
      </c>
      <c r="AD195" s="1009">
        <f t="shared" si="194"/>
        <v>20011334</v>
      </c>
      <c r="AE195" s="1009">
        <f t="shared" si="194"/>
        <v>625000000</v>
      </c>
      <c r="AF195" s="1009">
        <f t="shared" si="194"/>
        <v>0</v>
      </c>
      <c r="AG195" s="1009">
        <f t="shared" si="194"/>
        <v>0</v>
      </c>
      <c r="AH195" s="1009">
        <f t="shared" si="194"/>
        <v>0</v>
      </c>
      <c r="AI195" s="1009">
        <f t="shared" si="194"/>
        <v>1940856</v>
      </c>
      <c r="AJ195" s="1009">
        <f t="shared" si="194"/>
        <v>3438802</v>
      </c>
      <c r="AK195" s="1009">
        <f t="shared" si="194"/>
        <v>318664514</v>
      </c>
      <c r="AL195" s="1009">
        <f t="shared" si="194"/>
        <v>0</v>
      </c>
      <c r="AM195" s="1009">
        <f t="shared" si="194"/>
        <v>0</v>
      </c>
      <c r="AN195" s="1009">
        <f t="shared" si="194"/>
        <v>214719551</v>
      </c>
      <c r="AO195" s="1009">
        <f t="shared" si="194"/>
        <v>347080402</v>
      </c>
      <c r="AP195" s="1009">
        <f t="shared" si="194"/>
        <v>0</v>
      </c>
      <c r="AQ195" s="1009">
        <f t="shared" si="194"/>
        <v>0</v>
      </c>
      <c r="AR195" s="1009">
        <f t="shared" si="194"/>
        <v>92524043</v>
      </c>
      <c r="AS195" s="1009">
        <f t="shared" si="194"/>
        <v>471912657</v>
      </c>
      <c r="AU195" s="1012">
        <f t="shared" si="178"/>
        <v>0.75423316311402022</v>
      </c>
      <c r="AV195" s="1009">
        <f>SUM(AV130:AV194)</f>
        <v>8395907665</v>
      </c>
      <c r="AW195" s="1009">
        <f>SUM(AW130:AW194)</f>
        <v>0</v>
      </c>
      <c r="AX195" s="1009">
        <f>SUM(AX130:AX194)</f>
        <v>0</v>
      </c>
      <c r="AY195" s="1009"/>
      <c r="AZ195" s="1009">
        <f t="shared" ref="AZ195:BP195" si="195">SUM(AZ130:AZ194)</f>
        <v>6802033338</v>
      </c>
      <c r="BA195" s="1009">
        <f t="shared" si="195"/>
        <v>17503290</v>
      </c>
      <c r="BB195" s="1009">
        <f t="shared" si="195"/>
        <v>559457154</v>
      </c>
      <c r="BC195" s="1009">
        <f t="shared" si="195"/>
        <v>0</v>
      </c>
      <c r="BD195" s="1009">
        <f t="shared" si="195"/>
        <v>0</v>
      </c>
      <c r="BE195" s="1009">
        <f t="shared" si="195"/>
        <v>0</v>
      </c>
      <c r="BF195" s="1009">
        <f t="shared" si="195"/>
        <v>0</v>
      </c>
      <c r="BG195" s="1009">
        <f t="shared" si="195"/>
        <v>0</v>
      </c>
      <c r="BH195" s="1009">
        <f t="shared" si="195"/>
        <v>166126063</v>
      </c>
      <c r="BI195" s="1009">
        <f t="shared" si="195"/>
        <v>0</v>
      </c>
      <c r="BJ195" s="1009">
        <f t="shared" si="195"/>
        <v>0</v>
      </c>
      <c r="BK195" s="1009">
        <f t="shared" si="195"/>
        <v>133011786</v>
      </c>
      <c r="BL195" s="1009">
        <f t="shared" si="195"/>
        <v>332064236</v>
      </c>
      <c r="BM195" s="1009">
        <f t="shared" si="195"/>
        <v>0</v>
      </c>
      <c r="BN195" s="1009">
        <f t="shared" si="195"/>
        <v>0</v>
      </c>
      <c r="BO195" s="1009">
        <f t="shared" si="195"/>
        <v>92524043</v>
      </c>
      <c r="BP195" s="1009">
        <f t="shared" si="195"/>
        <v>293187755</v>
      </c>
      <c r="BQ195" s="1012">
        <f t="shared" si="179"/>
        <v>0.24576683688597978</v>
      </c>
      <c r="BR195" s="1009">
        <f>SUM(BR130:BR194)</f>
        <v>2735806075</v>
      </c>
      <c r="BS195" s="1009">
        <f>SUM(BS130:BS194)</f>
        <v>0</v>
      </c>
      <c r="BT195" s="1009">
        <f>SUM(BT130:BT194)</f>
        <v>0</v>
      </c>
      <c r="BU195" s="1009"/>
      <c r="BV195" s="1009">
        <f t="shared" ref="BV195:CL195" si="196">SUM(BV130:BV194)</f>
        <v>2234388243</v>
      </c>
      <c r="BW195" s="1009">
        <f t="shared" si="196"/>
        <v>2508044</v>
      </c>
      <c r="BX195" s="1009">
        <f t="shared" si="196"/>
        <v>65542846</v>
      </c>
      <c r="BY195" s="1009">
        <f t="shared" si="196"/>
        <v>0</v>
      </c>
      <c r="BZ195" s="1009">
        <f t="shared" si="196"/>
        <v>0</v>
      </c>
      <c r="CA195" s="1009">
        <f t="shared" si="196"/>
        <v>0</v>
      </c>
      <c r="CB195" s="1009">
        <f t="shared" si="196"/>
        <v>1940856</v>
      </c>
      <c r="CC195" s="1009">
        <f t="shared" si="196"/>
        <v>3438802</v>
      </c>
      <c r="CD195" s="1009">
        <f t="shared" si="196"/>
        <v>152538451</v>
      </c>
      <c r="CE195" s="1009">
        <f t="shared" si="196"/>
        <v>0</v>
      </c>
      <c r="CF195" s="1009">
        <f t="shared" si="196"/>
        <v>0</v>
      </c>
      <c r="CG195" s="1009">
        <f t="shared" si="196"/>
        <v>81707765</v>
      </c>
      <c r="CH195" s="1009">
        <f t="shared" si="196"/>
        <v>15016166</v>
      </c>
      <c r="CI195" s="1009">
        <f t="shared" si="196"/>
        <v>0</v>
      </c>
      <c r="CJ195" s="1009">
        <f t="shared" si="196"/>
        <v>0</v>
      </c>
      <c r="CK195" s="1009">
        <f t="shared" si="196"/>
        <v>0</v>
      </c>
      <c r="CL195" s="1009">
        <f t="shared" si="196"/>
        <v>178724902</v>
      </c>
      <c r="CM195" s="1012">
        <f t="shared" si="185"/>
        <v>0.46862273589151782</v>
      </c>
      <c r="CN195" s="1009">
        <f>SUM(CN130:CN194)</f>
        <v>5216574148</v>
      </c>
      <c r="CO195" s="1009">
        <f>SUM(CO130:CO194)</f>
        <v>0</v>
      </c>
      <c r="CP195" s="1009">
        <f>SUM(CP130:CP194)</f>
        <v>0</v>
      </c>
      <c r="CQ195" s="1009"/>
      <c r="CR195" s="1009">
        <f t="shared" ref="CR195:DH195" si="197">SUM(CR130:CR194)</f>
        <v>4105993257</v>
      </c>
      <c r="CS195" s="1009">
        <f t="shared" si="197"/>
        <v>12550540</v>
      </c>
      <c r="CT195" s="1009">
        <f t="shared" si="197"/>
        <v>515313282</v>
      </c>
      <c r="CU195" s="1009">
        <f t="shared" si="197"/>
        <v>0</v>
      </c>
      <c r="CV195" s="1009">
        <f t="shared" si="197"/>
        <v>0</v>
      </c>
      <c r="CW195" s="1009">
        <f t="shared" si="197"/>
        <v>0</v>
      </c>
      <c r="CX195" s="1009">
        <f t="shared" si="197"/>
        <v>0</v>
      </c>
      <c r="CY195" s="1009">
        <f t="shared" si="197"/>
        <v>0</v>
      </c>
      <c r="CZ195" s="1009">
        <f t="shared" si="197"/>
        <v>50855038</v>
      </c>
      <c r="DA195" s="1009">
        <f t="shared" si="197"/>
        <v>0</v>
      </c>
      <c r="DB195" s="1009">
        <f t="shared" si="197"/>
        <v>0</v>
      </c>
      <c r="DC195" s="1009">
        <f t="shared" si="197"/>
        <v>107320865</v>
      </c>
      <c r="DD195" s="1009">
        <f t="shared" si="197"/>
        <v>231639575</v>
      </c>
      <c r="DE195" s="1009">
        <f t="shared" si="197"/>
        <v>0</v>
      </c>
      <c r="DF195" s="1009">
        <f t="shared" si="197"/>
        <v>0</v>
      </c>
      <c r="DG195" s="1009">
        <f t="shared" si="197"/>
        <v>0</v>
      </c>
      <c r="DH195" s="1009">
        <f t="shared" si="197"/>
        <v>192901591</v>
      </c>
      <c r="DI195" s="1012">
        <f t="shared" si="186"/>
        <v>0.53137726410848218</v>
      </c>
      <c r="DJ195" s="1009">
        <f t="shared" ref="DJ195:ED195" si="198">SUM(DJ130:DJ194)</f>
        <v>5915139592</v>
      </c>
      <c r="DK195" s="1009">
        <f t="shared" si="198"/>
        <v>0</v>
      </c>
      <c r="DL195" s="1009">
        <f t="shared" si="198"/>
        <v>0</v>
      </c>
      <c r="DM195" s="1009">
        <f t="shared" si="198"/>
        <v>0</v>
      </c>
      <c r="DN195" s="1009">
        <f t="shared" si="198"/>
        <v>4930428324</v>
      </c>
      <c r="DO195" s="1009">
        <f t="shared" si="198"/>
        <v>7460794</v>
      </c>
      <c r="DP195" s="1009">
        <f t="shared" si="198"/>
        <v>109686718</v>
      </c>
      <c r="DQ195" s="1009">
        <f t="shared" si="198"/>
        <v>0</v>
      </c>
      <c r="DR195" s="1009">
        <f t="shared" si="198"/>
        <v>0</v>
      </c>
      <c r="DS195" s="1009">
        <f t="shared" si="198"/>
        <v>0</v>
      </c>
      <c r="DT195" s="1009">
        <f t="shared" si="198"/>
        <v>1940856</v>
      </c>
      <c r="DU195" s="1009">
        <f t="shared" si="198"/>
        <v>3438802</v>
      </c>
      <c r="DV195" s="1009">
        <f t="shared" si="198"/>
        <v>267809476</v>
      </c>
      <c r="DW195" s="1009">
        <f t="shared" si="198"/>
        <v>0</v>
      </c>
      <c r="DX195" s="1009">
        <f t="shared" si="198"/>
        <v>0</v>
      </c>
      <c r="DY195" s="1009">
        <f t="shared" si="198"/>
        <v>107398686</v>
      </c>
      <c r="DZ195" s="1009">
        <f t="shared" si="198"/>
        <v>115440827</v>
      </c>
      <c r="EA195" s="1009">
        <f t="shared" si="198"/>
        <v>0</v>
      </c>
      <c r="EB195" s="1009">
        <f t="shared" si="198"/>
        <v>0</v>
      </c>
      <c r="EC195" s="1009">
        <f t="shared" si="198"/>
        <v>92524043</v>
      </c>
      <c r="ED195" s="1009">
        <f t="shared" si="198"/>
        <v>279011066</v>
      </c>
    </row>
    <row r="196" spans="1:134" ht="12" customHeight="1" thickTop="1" x14ac:dyDescent="0.25">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92"/>
      <c r="Z196" s="992"/>
      <c r="AA196" s="992"/>
      <c r="AB196" s="992"/>
      <c r="AC196" s="993"/>
      <c r="AD196" s="992"/>
      <c r="AE196" s="686"/>
      <c r="AF196" s="686"/>
      <c r="AG196" s="686"/>
      <c r="AH196" s="686"/>
      <c r="AI196" s="686"/>
      <c r="AJ196" s="686"/>
      <c r="AK196" s="686"/>
      <c r="AL196" s="686"/>
      <c r="AM196" s="686"/>
      <c r="AN196" s="686"/>
      <c r="AO196" s="686"/>
      <c r="AP196" s="686"/>
      <c r="AQ196" s="686"/>
      <c r="AR196" s="686"/>
      <c r="AS196" s="686"/>
      <c r="AU196" s="1005"/>
      <c r="AV196" s="875"/>
      <c r="AW196" s="875"/>
      <c r="AX196" s="875"/>
      <c r="AY196" s="875"/>
      <c r="AZ196" s="875"/>
      <c r="BA196" s="875"/>
      <c r="BB196" s="875"/>
      <c r="BC196" s="875"/>
      <c r="BD196" s="875"/>
      <c r="BE196" s="875"/>
      <c r="BF196" s="875"/>
      <c r="BG196" s="875"/>
      <c r="BH196" s="875"/>
      <c r="BI196" s="875"/>
      <c r="BJ196" s="875"/>
      <c r="BK196" s="875"/>
      <c r="BL196" s="875"/>
      <c r="BM196" s="875"/>
      <c r="BN196" s="875"/>
      <c r="BO196" s="875"/>
      <c r="BP196" s="875"/>
      <c r="BQ196" s="1005"/>
      <c r="BR196" s="875"/>
      <c r="BS196" s="875"/>
      <c r="BT196" s="875"/>
      <c r="BU196" s="875"/>
      <c r="BV196" s="875"/>
      <c r="BW196" s="875"/>
      <c r="BX196" s="875"/>
      <c r="BY196" s="875"/>
      <c r="BZ196" s="875"/>
      <c r="CA196" s="875"/>
      <c r="CB196" s="875"/>
      <c r="CC196" s="875"/>
      <c r="CD196" s="875"/>
      <c r="CE196" s="875"/>
      <c r="CF196" s="875"/>
      <c r="CG196" s="875"/>
      <c r="CH196" s="875"/>
      <c r="CI196" s="875"/>
      <c r="CJ196" s="875"/>
      <c r="CK196" s="875"/>
      <c r="CL196" s="875"/>
      <c r="CM196" s="1005"/>
      <c r="CN196" s="1045"/>
      <c r="CO196" s="875"/>
      <c r="CP196" s="875"/>
      <c r="CQ196" s="875"/>
      <c r="CR196" s="875"/>
      <c r="CS196" s="875"/>
      <c r="CT196" s="875"/>
      <c r="CU196" s="875"/>
      <c r="CV196" s="875"/>
      <c r="CW196" s="875"/>
      <c r="CX196" s="875"/>
      <c r="CY196" s="875"/>
      <c r="CZ196" s="875"/>
      <c r="DA196" s="875"/>
      <c r="DB196" s="875"/>
      <c r="DC196" s="875"/>
      <c r="DD196" s="875"/>
      <c r="DE196" s="875"/>
      <c r="DF196" s="875"/>
      <c r="DG196" s="875"/>
      <c r="DH196" s="875"/>
      <c r="DI196" s="1005"/>
      <c r="DJ196" s="875"/>
      <c r="DK196" s="875"/>
      <c r="DL196" s="875"/>
      <c r="DM196" s="875"/>
      <c r="DN196" s="875"/>
      <c r="DO196" s="875"/>
      <c r="DP196" s="875"/>
      <c r="DQ196" s="875"/>
      <c r="DR196" s="875"/>
      <c r="DS196" s="875"/>
      <c r="DT196" s="875"/>
      <c r="DU196" s="875"/>
      <c r="DV196" s="875"/>
      <c r="DW196" s="875"/>
      <c r="DX196" s="875"/>
      <c r="DY196" s="875"/>
      <c r="DZ196" s="875"/>
      <c r="EA196" s="875"/>
      <c r="EB196" s="875"/>
      <c r="EC196" s="875"/>
      <c r="ED196" s="875"/>
    </row>
    <row r="197" spans="1:134" ht="19.5" customHeight="1" x14ac:dyDescent="0.25">
      <c r="C197" s="1233" t="s">
        <v>622</v>
      </c>
      <c r="D197" s="1248"/>
      <c r="E197" s="1266"/>
      <c r="F197" s="242"/>
      <c r="G197" s="875">
        <f>G34+G67+G104+G129+G195</f>
        <v>31953000000</v>
      </c>
      <c r="H197" s="1060">
        <f>H34+H67+H104+H129+H195</f>
        <v>14482181979</v>
      </c>
      <c r="I197" s="1060">
        <f>I34+I67+I104+I129+I195</f>
        <v>10606911324</v>
      </c>
      <c r="J197" s="242"/>
      <c r="K197" s="242"/>
      <c r="L197" s="242"/>
      <c r="M197" s="242"/>
      <c r="N197" s="242"/>
      <c r="O197" s="242"/>
      <c r="P197" s="242"/>
      <c r="Q197" s="242"/>
      <c r="R197" s="242"/>
      <c r="S197" s="242"/>
      <c r="T197" s="242"/>
      <c r="U197" s="242"/>
      <c r="V197" s="242"/>
      <c r="W197" s="242"/>
      <c r="X197" s="242"/>
      <c r="Y197" s="875">
        <f t="shared" ref="Y197:AS197" si="199">Y34+Y67+Y104+Y129+Y195</f>
        <v>25089093303</v>
      </c>
      <c r="Z197" s="875">
        <f t="shared" si="199"/>
        <v>104079469</v>
      </c>
      <c r="AA197" s="875">
        <f t="shared" si="199"/>
        <v>134533656</v>
      </c>
      <c r="AB197" s="875">
        <f t="shared" si="199"/>
        <v>396726534</v>
      </c>
      <c r="AC197" s="875">
        <f t="shared" si="199"/>
        <v>9862143612</v>
      </c>
      <c r="AD197" s="875">
        <f t="shared" si="199"/>
        <v>92895874</v>
      </c>
      <c r="AE197" s="875">
        <f t="shared" si="199"/>
        <v>2509180877</v>
      </c>
      <c r="AF197" s="875">
        <f t="shared" si="199"/>
        <v>1300000000</v>
      </c>
      <c r="AG197" s="875">
        <f t="shared" si="199"/>
        <v>102810569</v>
      </c>
      <c r="AH197" s="875">
        <f t="shared" si="199"/>
        <v>219471348</v>
      </c>
      <c r="AI197" s="875">
        <f t="shared" si="199"/>
        <v>1940856</v>
      </c>
      <c r="AJ197" s="875">
        <f t="shared" si="199"/>
        <v>3438802</v>
      </c>
      <c r="AK197" s="875">
        <f t="shared" si="199"/>
        <v>318664514</v>
      </c>
      <c r="AL197" s="875">
        <f t="shared" si="199"/>
        <v>4114878115</v>
      </c>
      <c r="AM197" s="875">
        <f t="shared" si="199"/>
        <v>1077016006</v>
      </c>
      <c r="AN197" s="875">
        <f t="shared" si="199"/>
        <v>1074256830</v>
      </c>
      <c r="AO197" s="875">
        <f t="shared" si="199"/>
        <v>999377331</v>
      </c>
      <c r="AP197" s="875">
        <f t="shared" si="199"/>
        <v>1181607989</v>
      </c>
      <c r="AQ197" s="875">
        <f t="shared" si="199"/>
        <v>80844085</v>
      </c>
      <c r="AR197" s="875">
        <f t="shared" si="199"/>
        <v>92524043</v>
      </c>
      <c r="AS197" s="875">
        <f t="shared" si="199"/>
        <v>1422702793</v>
      </c>
      <c r="AU197" s="238">
        <f>+AV197/Y197</f>
        <v>0.7948572974781607</v>
      </c>
      <c r="AV197" s="875">
        <f t="shared" ref="AV197:BP197" si="200">AV34+AV67+AV104+AV129+AV195</f>
        <v>19942248899</v>
      </c>
      <c r="AW197" s="875">
        <f t="shared" si="200"/>
        <v>103245422</v>
      </c>
      <c r="AX197" s="875">
        <f t="shared" si="200"/>
        <v>127311678</v>
      </c>
      <c r="AY197" s="875">
        <f t="shared" si="200"/>
        <v>364926534</v>
      </c>
      <c r="AZ197" s="875">
        <f t="shared" si="200"/>
        <v>7617755369</v>
      </c>
      <c r="BA197" s="875">
        <f t="shared" si="200"/>
        <v>17503290</v>
      </c>
      <c r="BB197" s="875">
        <f t="shared" si="200"/>
        <v>2155554199</v>
      </c>
      <c r="BC197" s="875">
        <f t="shared" si="200"/>
        <v>1164170675</v>
      </c>
      <c r="BD197" s="875">
        <f t="shared" si="200"/>
        <v>102810569</v>
      </c>
      <c r="BE197" s="875">
        <f t="shared" si="200"/>
        <v>219471348</v>
      </c>
      <c r="BF197" s="875">
        <f t="shared" si="200"/>
        <v>0</v>
      </c>
      <c r="BG197" s="875">
        <f t="shared" si="200"/>
        <v>0</v>
      </c>
      <c r="BH197" s="875">
        <f t="shared" si="200"/>
        <v>166126063</v>
      </c>
      <c r="BI197" s="875">
        <f t="shared" si="200"/>
        <v>2656492070</v>
      </c>
      <c r="BJ197" s="875">
        <f t="shared" si="200"/>
        <v>939954586</v>
      </c>
      <c r="BK197" s="875">
        <f t="shared" si="200"/>
        <v>821534672</v>
      </c>
      <c r="BL197" s="875">
        <f t="shared" si="200"/>
        <v>954787936</v>
      </c>
      <c r="BM197" s="875">
        <f t="shared" si="200"/>
        <v>1141064355</v>
      </c>
      <c r="BN197" s="875">
        <f t="shared" si="200"/>
        <v>80844085</v>
      </c>
      <c r="BO197" s="875">
        <f t="shared" si="200"/>
        <v>92524043</v>
      </c>
      <c r="BP197" s="875">
        <f t="shared" si="200"/>
        <v>1143287465</v>
      </c>
      <c r="BQ197" s="950">
        <f>1-AU197</f>
        <v>0.2051427025218393</v>
      </c>
      <c r="BR197" s="875">
        <f t="shared" ref="BR197:CL197" si="201">BR34+BR67+BR104+BR129+BR195</f>
        <v>5146844404</v>
      </c>
      <c r="BS197" s="875">
        <f t="shared" si="201"/>
        <v>834047</v>
      </c>
      <c r="BT197" s="875">
        <f t="shared" si="201"/>
        <v>7221978</v>
      </c>
      <c r="BU197" s="875">
        <f t="shared" si="201"/>
        <v>31800000</v>
      </c>
      <c r="BV197" s="875">
        <f t="shared" si="201"/>
        <v>2244388243</v>
      </c>
      <c r="BW197" s="875">
        <f t="shared" si="201"/>
        <v>2508044</v>
      </c>
      <c r="BX197" s="875">
        <f t="shared" si="201"/>
        <v>353626678</v>
      </c>
      <c r="BY197" s="875">
        <f t="shared" si="201"/>
        <v>135829325</v>
      </c>
      <c r="BZ197" s="875">
        <f t="shared" si="201"/>
        <v>0</v>
      </c>
      <c r="CA197" s="875">
        <f t="shared" si="201"/>
        <v>0</v>
      </c>
      <c r="CB197" s="875">
        <f t="shared" si="201"/>
        <v>1940856</v>
      </c>
      <c r="CC197" s="875">
        <f t="shared" si="201"/>
        <v>3438802</v>
      </c>
      <c r="CD197" s="875">
        <f t="shared" si="201"/>
        <v>152538451</v>
      </c>
      <c r="CE197" s="875">
        <f t="shared" si="201"/>
        <v>1458386045</v>
      </c>
      <c r="CF197" s="875">
        <f t="shared" si="201"/>
        <v>137061420</v>
      </c>
      <c r="CG197" s="875">
        <f t="shared" si="201"/>
        <v>252722158</v>
      </c>
      <c r="CH197" s="875">
        <f t="shared" si="201"/>
        <v>44589395</v>
      </c>
      <c r="CI197" s="875">
        <f t="shared" si="201"/>
        <v>40543634</v>
      </c>
      <c r="CJ197" s="875">
        <f t="shared" si="201"/>
        <v>0</v>
      </c>
      <c r="CK197" s="875">
        <f t="shared" si="201"/>
        <v>0</v>
      </c>
      <c r="CL197" s="875">
        <f t="shared" si="201"/>
        <v>279415328</v>
      </c>
      <c r="CM197" s="950">
        <f>+CN197/Y197</f>
        <v>0.57723018540762927</v>
      </c>
      <c r="CN197" s="875">
        <f t="shared" ref="CN197:ED197" si="202">CN34+CN67+CN104+CN129+CN195</f>
        <v>14482181979</v>
      </c>
      <c r="CO197" s="875">
        <f t="shared" si="202"/>
        <v>94013966</v>
      </c>
      <c r="CP197" s="875">
        <f t="shared" si="202"/>
        <v>127311678</v>
      </c>
      <c r="CQ197" s="875">
        <f t="shared" si="202"/>
        <v>364926534</v>
      </c>
      <c r="CR197" s="875">
        <f t="shared" si="202"/>
        <v>4707463138</v>
      </c>
      <c r="CS197" s="875">
        <f t="shared" si="202"/>
        <v>12550540</v>
      </c>
      <c r="CT197" s="875">
        <f t="shared" si="202"/>
        <v>1939216290</v>
      </c>
      <c r="CU197" s="875">
        <f t="shared" si="202"/>
        <v>1019225454</v>
      </c>
      <c r="CV197" s="875">
        <f t="shared" si="202"/>
        <v>102810569</v>
      </c>
      <c r="CW197" s="875">
        <f t="shared" si="202"/>
        <v>129471348</v>
      </c>
      <c r="CX197" s="875">
        <f t="shared" si="202"/>
        <v>0</v>
      </c>
      <c r="CY197" s="875">
        <f t="shared" si="202"/>
        <v>0</v>
      </c>
      <c r="CZ197" s="875">
        <f t="shared" si="202"/>
        <v>50855038</v>
      </c>
      <c r="DA197" s="875">
        <f t="shared" si="202"/>
        <v>1689569911</v>
      </c>
      <c r="DB197" s="875">
        <f t="shared" si="202"/>
        <v>833345661</v>
      </c>
      <c r="DC197" s="875">
        <f t="shared" si="202"/>
        <v>730796139</v>
      </c>
      <c r="DD197" s="875">
        <f t="shared" si="202"/>
        <v>659953051</v>
      </c>
      <c r="DE197" s="875">
        <f t="shared" si="202"/>
        <v>1082996639</v>
      </c>
      <c r="DF197" s="875">
        <f t="shared" si="202"/>
        <v>32548551</v>
      </c>
      <c r="DG197" s="875">
        <f t="shared" si="202"/>
        <v>0</v>
      </c>
      <c r="DH197" s="875">
        <f t="shared" si="202"/>
        <v>905127472</v>
      </c>
      <c r="DI197" s="875" t="e">
        <f t="shared" si="202"/>
        <v>#DIV/0!</v>
      </c>
      <c r="DJ197" s="875">
        <f t="shared" si="202"/>
        <v>10606911324</v>
      </c>
      <c r="DK197" s="875">
        <f t="shared" si="202"/>
        <v>10065503</v>
      </c>
      <c r="DL197" s="875">
        <f t="shared" si="202"/>
        <v>7221978</v>
      </c>
      <c r="DM197" s="875">
        <f t="shared" si="202"/>
        <v>31800000</v>
      </c>
      <c r="DN197" s="875">
        <f t="shared" si="202"/>
        <v>5154680474</v>
      </c>
      <c r="DO197" s="875">
        <f t="shared" si="202"/>
        <v>80345334</v>
      </c>
      <c r="DP197" s="875">
        <f t="shared" si="202"/>
        <v>569964587</v>
      </c>
      <c r="DQ197" s="875">
        <f t="shared" si="202"/>
        <v>280774546</v>
      </c>
      <c r="DR197" s="875">
        <f t="shared" si="202"/>
        <v>0</v>
      </c>
      <c r="DS197" s="875">
        <f t="shared" si="202"/>
        <v>90000000</v>
      </c>
      <c r="DT197" s="875">
        <f t="shared" si="202"/>
        <v>1940856</v>
      </c>
      <c r="DU197" s="875">
        <f t="shared" si="202"/>
        <v>3438802</v>
      </c>
      <c r="DV197" s="875">
        <f t="shared" si="202"/>
        <v>267809476</v>
      </c>
      <c r="DW197" s="875">
        <f t="shared" si="202"/>
        <v>2425308204</v>
      </c>
      <c r="DX197" s="875">
        <f t="shared" si="202"/>
        <v>243670345</v>
      </c>
      <c r="DY197" s="875">
        <f t="shared" si="202"/>
        <v>343460691</v>
      </c>
      <c r="DZ197" s="875">
        <f t="shared" si="202"/>
        <v>339424280</v>
      </c>
      <c r="EA197" s="875">
        <f t="shared" si="202"/>
        <v>98611350</v>
      </c>
      <c r="EB197" s="875">
        <f t="shared" si="202"/>
        <v>48295534</v>
      </c>
      <c r="EC197" s="875">
        <f t="shared" si="202"/>
        <v>92524043</v>
      </c>
      <c r="ED197" s="875">
        <f t="shared" si="202"/>
        <v>517575321</v>
      </c>
    </row>
    <row r="198" spans="1:134" ht="10.5" customHeight="1" x14ac:dyDescent="0.25">
      <c r="C198" s="118"/>
      <c r="D198" s="118"/>
      <c r="E198" s="123"/>
      <c r="F198" s="123"/>
      <c r="G198" s="1092"/>
      <c r="H198" s="123"/>
      <c r="I198" s="123"/>
      <c r="J198" s="123"/>
      <c r="K198" s="123"/>
      <c r="L198" s="123"/>
      <c r="M198" s="123"/>
      <c r="N198" s="123"/>
      <c r="O198" s="123"/>
      <c r="P198" s="123"/>
      <c r="Q198" s="123"/>
      <c r="R198" s="123"/>
      <c r="S198" s="123"/>
      <c r="T198" s="123"/>
      <c r="U198" s="123"/>
      <c r="V198" s="123"/>
      <c r="W198" s="123"/>
      <c r="X198" s="123"/>
      <c r="Y198" s="961"/>
      <c r="Z198" s="961"/>
      <c r="AA198" s="961"/>
      <c r="AB198" s="961"/>
      <c r="AC198" s="979"/>
      <c r="AD198" s="961"/>
      <c r="AE198" s="122"/>
      <c r="AF198" s="122"/>
      <c r="AG198" s="122"/>
      <c r="AH198" s="122"/>
      <c r="AI198" s="122"/>
      <c r="AJ198" s="122"/>
      <c r="AK198" s="122"/>
      <c r="AL198" s="122"/>
      <c r="AM198" s="122"/>
      <c r="AN198" s="122"/>
      <c r="AO198" s="122"/>
      <c r="AP198" s="122"/>
      <c r="AQ198" s="122"/>
      <c r="AR198" s="122"/>
      <c r="AS198" s="122"/>
      <c r="AU198" s="239"/>
      <c r="AV198" s="148"/>
      <c r="AW198" s="148"/>
      <c r="AX198" s="148"/>
      <c r="AY198" s="148"/>
      <c r="AZ198" s="148"/>
      <c r="BA198" s="148"/>
      <c r="BB198" s="122"/>
      <c r="BC198" s="122"/>
      <c r="BD198" s="122"/>
      <c r="BE198" s="122"/>
      <c r="BF198" s="122"/>
      <c r="BG198" s="122"/>
      <c r="BH198" s="122"/>
      <c r="BI198" s="122"/>
      <c r="BJ198" s="122"/>
      <c r="BK198" s="122"/>
      <c r="BL198" s="122"/>
      <c r="BM198" s="122"/>
      <c r="BN198" s="122"/>
      <c r="BO198" s="122"/>
      <c r="BP198" s="122"/>
      <c r="BQ198" s="239"/>
      <c r="BR198" s="148"/>
      <c r="BS198" s="148"/>
      <c r="BT198" s="148"/>
      <c r="BU198" s="148"/>
      <c r="BV198" s="148"/>
      <c r="BW198" s="148"/>
      <c r="BX198" s="207"/>
      <c r="BY198" s="207"/>
      <c r="BZ198" s="207"/>
      <c r="CA198" s="207"/>
      <c r="CB198" s="207"/>
      <c r="CC198" s="207"/>
      <c r="CD198" s="207"/>
      <c r="CE198" s="207"/>
      <c r="CF198" s="207"/>
      <c r="CG198" s="207"/>
      <c r="CH198" s="207"/>
      <c r="CI198" s="207"/>
      <c r="CJ198" s="207"/>
      <c r="CK198" s="207"/>
      <c r="CL198" s="207"/>
      <c r="CM198" s="239"/>
      <c r="CN198" s="1046"/>
      <c r="CO198" s="169"/>
      <c r="CP198" s="169"/>
      <c r="CQ198" s="169"/>
      <c r="CR198" s="169"/>
      <c r="CS198" s="169"/>
      <c r="CT198" s="122"/>
      <c r="CU198" s="122"/>
      <c r="CV198" s="122"/>
      <c r="CW198" s="122"/>
      <c r="CX198" s="122"/>
      <c r="CY198" s="122"/>
      <c r="CZ198" s="122"/>
      <c r="DA198" s="122"/>
      <c r="DB198" s="122"/>
      <c r="DC198" s="122"/>
      <c r="DD198" s="122"/>
      <c r="DE198" s="122"/>
      <c r="DF198" s="122"/>
      <c r="DG198" s="122"/>
      <c r="DH198" s="122"/>
      <c r="DI198" s="1011"/>
      <c r="DJ198" s="1039"/>
      <c r="DK198" s="148"/>
      <c r="DL198" s="148"/>
      <c r="DM198" s="148"/>
      <c r="DN198" s="148"/>
      <c r="DO198" s="148"/>
      <c r="DP198" s="207"/>
      <c r="DQ198" s="207"/>
      <c r="DR198" s="207"/>
      <c r="DS198" s="207"/>
      <c r="DT198" s="207"/>
      <c r="DU198" s="207"/>
      <c r="DV198" s="207"/>
      <c r="DW198" s="207"/>
      <c r="DX198" s="207"/>
      <c r="DY198" s="207"/>
      <c r="DZ198" s="207"/>
      <c r="EA198" s="207"/>
      <c r="EB198" s="207"/>
      <c r="EC198" s="207"/>
      <c r="ED198" s="207"/>
    </row>
    <row r="199" spans="1:134" ht="16.5" customHeight="1" x14ac:dyDescent="0.25">
      <c r="C199" s="1048"/>
      <c r="D199" s="1098" t="s">
        <v>3753</v>
      </c>
      <c r="E199" s="239">
        <v>111</v>
      </c>
      <c r="F199" s="133"/>
      <c r="G199" s="875">
        <f>SUMIF($E$4:$E$194,"111",$G$4:$G$194)</f>
        <v>20073000000</v>
      </c>
      <c r="H199" s="1060">
        <f>SUMIF($E$4:$E$194,"111",$H$4:$H$194)</f>
        <v>2281390174</v>
      </c>
      <c r="I199" s="1060">
        <f>SUMIF($E$4:$E$194,"111",$I$4:$I$194)</f>
        <v>4376207355</v>
      </c>
      <c r="J199" s="133"/>
      <c r="K199" s="133"/>
      <c r="L199" s="133"/>
      <c r="M199" s="133"/>
      <c r="N199" s="133"/>
      <c r="O199" s="133"/>
      <c r="P199" s="133"/>
      <c r="Q199" s="133"/>
      <c r="R199" s="133"/>
      <c r="S199" s="133"/>
      <c r="T199" s="133"/>
      <c r="U199" s="133"/>
      <c r="V199" s="133"/>
      <c r="W199" s="133"/>
      <c r="X199" s="133"/>
      <c r="Y199" s="951">
        <f>SUMIF($E$4:$E$194,"111",$Y$4:$Y$194)</f>
        <v>6657597529</v>
      </c>
      <c r="Z199" s="951">
        <f>SUMIF($E$4:$E$194,"111",$Z$4:$Z$194)</f>
        <v>0</v>
      </c>
      <c r="AA199" s="216">
        <f>SUMIF($E$4:$E$195,"111",$AA$4:$AA$195)</f>
        <v>0</v>
      </c>
      <c r="AB199" s="216">
        <f>SUMIF($E$4:$E$195,"111",$AB$4:$AB$195)</f>
        <v>0</v>
      </c>
      <c r="AC199" s="216">
        <f>SUMIF($E$4:$E$195,"111",$AC$4:$AC$195)</f>
        <v>6143356148</v>
      </c>
      <c r="AD199" s="951">
        <f>SUMIF($E$4:$E$194,"111",$AD$4:$AD$194)</f>
        <v>20011334</v>
      </c>
      <c r="AE199" s="133">
        <f>SUMIF($E$4:$E$195,"111",$AE$4:$AE$195)</f>
        <v>5000000</v>
      </c>
      <c r="AF199" s="133">
        <f>SUMIF($E$4:$E$192,"111",$AF$4:$AF$192)</f>
        <v>0</v>
      </c>
      <c r="AG199" s="133">
        <f>SUMIF($E$4:$E$192,"111",$AG$4:$AG$192)</f>
        <v>0</v>
      </c>
      <c r="AH199" s="133">
        <f>SUMIF($E$4:$E$192,"111",$AH$4:$AH$192)</f>
        <v>0</v>
      </c>
      <c r="AI199" s="133">
        <f>SUMIF($E$4:$E$192,"111",$AI$4:$AI$192)</f>
        <v>1940856</v>
      </c>
      <c r="AJ199" s="133">
        <f>SUMIF($E$4:$E$192,"111",$AJ$4:$AJ$192)</f>
        <v>3438802</v>
      </c>
      <c r="AK199" s="133">
        <f>SUMIF($E$4:$E$192,"111",$AK$4:$AK$192)</f>
        <v>186380309</v>
      </c>
      <c r="AL199" s="133">
        <f>SUMIF($E$4:$E$192,"111",$AL$4:$AL$192)</f>
        <v>0</v>
      </c>
      <c r="AM199" s="133">
        <f>SUMIF($E$4:$E$192,"111",$AM$4:$AM$192)</f>
        <v>0</v>
      </c>
      <c r="AN199" s="133">
        <f>SUMIF($E$4:$E$192,"111",$AN$4:$AN$192)</f>
        <v>75649551</v>
      </c>
      <c r="AO199" s="133">
        <f>SUMIF($E$4:$E$192,"111",$AO$4:$AO$192)</f>
        <v>28705529</v>
      </c>
      <c r="AP199" s="133">
        <f>SUMIF($E$4:$E$192,"111",$AP$4:$AP$192)</f>
        <v>0</v>
      </c>
      <c r="AQ199" s="133">
        <f>SUMIF($E$4:$E$192,"111",$AQ$4:$AQ$192)</f>
        <v>0</v>
      </c>
      <c r="AR199" s="133">
        <f>SUMIF($E$4:$E$192,"111",$AR$4:$AR$192)</f>
        <v>0</v>
      </c>
      <c r="AS199" s="133">
        <f>SUMIF($E$4:$E$194,"111",$AS$4:$AS$194)</f>
        <v>193115000</v>
      </c>
      <c r="AU199" s="946">
        <f t="shared" ref="AU199:AU207" si="203">+AV199/Y199</f>
        <v>0.67672915753390839</v>
      </c>
      <c r="AV199" s="218">
        <f t="shared" ref="AV199:AV204" si="204">SUM(AW199:BP199)</f>
        <v>4505390367</v>
      </c>
      <c r="AW199" s="951">
        <f>SUMIF($E$4:$E$194,"111",$AW$4:$AW$194)</f>
        <v>0</v>
      </c>
      <c r="AX199" s="951">
        <f>SUMIF($E$4:$E$194,"111",$AX$4:$AX$194)</f>
        <v>0</v>
      </c>
      <c r="AY199" s="951">
        <f>SUMIF($E$4:$E$194,"111",$AY$4:$AY$194)</f>
        <v>0</v>
      </c>
      <c r="AZ199" s="951">
        <f>SUMIF($E$4:$E$194,"111",$AZ$4:$AZ$194)</f>
        <v>4277839358</v>
      </c>
      <c r="BA199" s="951">
        <f>SUMIF($E$4:$E$194,"111",$BA$4:$BA$194)</f>
        <v>17503290</v>
      </c>
      <c r="BB199" s="951">
        <f>SUMIF($E$4:$E$194,"111",$BB$4:$BB$194)</f>
        <v>0</v>
      </c>
      <c r="BC199" s="951">
        <f>SUMIF($E$4:$E$194,"111",$BC$4:$BC$194)</f>
        <v>0</v>
      </c>
      <c r="BD199" s="951">
        <f>SUMIF($E$4:$E$194,"111",$BD$4:$BD$194)</f>
        <v>0</v>
      </c>
      <c r="BE199" s="951">
        <f>SUMIF($E$4:$E$194,"111",$BE$4:$BE$194)</f>
        <v>0</v>
      </c>
      <c r="BF199" s="951">
        <f>SUMIF($E$4:$E$194,"111",$BF$4:$BF$194)</f>
        <v>0</v>
      </c>
      <c r="BG199" s="951">
        <f>SUMIF($E$4:$E$192,"111",$BG$4:$BG$192)</f>
        <v>0</v>
      </c>
      <c r="BH199" s="951">
        <f>SUMIF($E$4:$E$192,"111",$BH$4:$BH$192)</f>
        <v>115271025</v>
      </c>
      <c r="BI199" s="951">
        <f>SUMIF($E$4:$E$192,"111",$BI$4:$BI$192)</f>
        <v>0</v>
      </c>
      <c r="BJ199" s="951">
        <f>SUMIF($E$4:$E$192,"111",$BJ$4:$BJ$192)</f>
        <v>0</v>
      </c>
      <c r="BK199" s="951">
        <f>SUMIF($E$4:$E$194,"111",$BK$4:$BK$194)</f>
        <v>0</v>
      </c>
      <c r="BL199" s="951">
        <f>SUMIF($E$4:$E$192,"111",$BL$4:$BL$192)</f>
        <v>22661694</v>
      </c>
      <c r="BM199" s="951">
        <f>SUMIF($E$4:$E$194,"111",$AY$4:$AY$194)</f>
        <v>0</v>
      </c>
      <c r="BN199" s="951">
        <f>SUMIF($E$4:$E$192,"111",$BN$4:$BN$192)</f>
        <v>0</v>
      </c>
      <c r="BO199" s="951">
        <f>SUMIF($E$4:$E$192,"111",$BO$4:$BO$192)</f>
        <v>0</v>
      </c>
      <c r="BP199" s="951">
        <f>SUMIF($E$4:$E$194,"111",$BP$4:$BP$194)</f>
        <v>72115000</v>
      </c>
      <c r="BQ199" s="950">
        <f t="shared" ref="BQ199:BQ207" si="205">1-AU199</f>
        <v>0.32327084246609161</v>
      </c>
      <c r="BR199" s="149">
        <f t="shared" ref="BR199:BR204" si="206">SUM(BS199:CL199)</f>
        <v>2152207162</v>
      </c>
      <c r="BS199" s="951">
        <f>SUMIF($E$4:$E$194,"111",$AY$4:$AY$194)</f>
        <v>0</v>
      </c>
      <c r="BT199" s="953">
        <f>SUMIF($E$4:$E$192,"111",$BT$4:$BT$192)</f>
        <v>0</v>
      </c>
      <c r="BU199" s="953">
        <f>SUMIF($E$4:$E$192,"111",$BU$4:$BU$192)</f>
        <v>0</v>
      </c>
      <c r="BV199" s="953">
        <f>SUMIF($E$4:$E$194,"111",$BV$4:$BV$194)</f>
        <v>1865516790</v>
      </c>
      <c r="BW199" s="953">
        <f>SUMIF($E$4:$E$194,"111",$BW$4:$BW$194)</f>
        <v>2508044</v>
      </c>
      <c r="BX199" s="953">
        <f>SUMIF($E$4:$E$194,"111",$BX$4:$BX$194)</f>
        <v>5000000</v>
      </c>
      <c r="BY199" s="953">
        <f>SUMIF($E$4:$E$194,"111",$BY$4:$BY$194)</f>
        <v>0</v>
      </c>
      <c r="BZ199" s="953">
        <f>SUMIF($E$4:$E$192,"111",$BZ$4:$BZ$192)</f>
        <v>0</v>
      </c>
      <c r="CA199" s="953">
        <f>SUMIF($E$4:$E$195,"111",$CA$4:$CA$195)</f>
        <v>0</v>
      </c>
      <c r="CB199" s="953">
        <f>SUMIF($E$4:$E$192,"111",$CB$4:$CB$192)</f>
        <v>1940856</v>
      </c>
      <c r="CC199" s="953">
        <f>SUMIF($E$4:$E$192,"111",$CC$4:$CC$192)</f>
        <v>3438802</v>
      </c>
      <c r="CD199" s="953">
        <f>SUMIF($E$4:$E$192,"111",$CD$4:$CD$192)</f>
        <v>71109284</v>
      </c>
      <c r="CE199" s="953">
        <f>SUMIF($E$4:$E$192,"111",$CE$4:$CE$192)</f>
        <v>0</v>
      </c>
      <c r="CF199" s="953">
        <f>SUMIF($E$4:$E$192,"111",$CF$4:$CF$192)</f>
        <v>0</v>
      </c>
      <c r="CG199" s="953">
        <f>SUMIF($E$4:$E$192,"111",$CG$4:$CG$192)</f>
        <v>75649551</v>
      </c>
      <c r="CH199" s="953">
        <f>SUMIF($E$4:$E$192,"111",$CH$4:$CH$192)</f>
        <v>6043835</v>
      </c>
      <c r="CI199" s="953">
        <f>SUMIF($E$4:$E$192,"111",$CI$4:$CI$192)</f>
        <v>0</v>
      </c>
      <c r="CJ199" s="953">
        <f>SUMIF($E$4:$E$192,"111",$CJ$4:$CJ$192)</f>
        <v>0</v>
      </c>
      <c r="CK199" s="953">
        <f>SUMIF($E$4:$E$192,"111",$CK$4:$CK$192)</f>
        <v>0</v>
      </c>
      <c r="CL199" s="956">
        <f>SUMIF($E$4:$E$194,"111",$CL$4:$CL$194)</f>
        <v>121000000</v>
      </c>
      <c r="CM199" s="959">
        <f t="shared" ref="CM199:CM207" si="207">+CN199/Y199</f>
        <v>0.34267469069171486</v>
      </c>
      <c r="CN199" s="944">
        <f t="shared" ref="CN199:CN204" si="208">SUM(CO199:DH199)</f>
        <v>2281390174</v>
      </c>
      <c r="CO199" s="951">
        <f>SUMIF($E$4:$E$194,"111",$CO$4:$CO$194)</f>
        <v>0</v>
      </c>
      <c r="CP199" s="951">
        <f>SUMIF($E$4:$E$192,"111",$CP$4:$CP$192)</f>
        <v>0</v>
      </c>
      <c r="CQ199" s="951">
        <f>SUMIF($E$4:$E$192,"111",$CQ$4:$CQ$192)</f>
        <v>0</v>
      </c>
      <c r="CR199" s="951">
        <f>SUMIF($E$4:$E$192,"111",$CR$4:$CR$192)</f>
        <v>2190694555</v>
      </c>
      <c r="CS199" s="951">
        <f>SUMIF($E$4:$E$194,"111",$CS$4:$CS$194)</f>
        <v>12550540</v>
      </c>
      <c r="CT199" s="951">
        <f>SUMIF($E$4:$E$192,"111",$CT$4:$CT$192)</f>
        <v>0</v>
      </c>
      <c r="CU199" s="951">
        <f>SUMIF($E$4:$E$192,"111",$CU$4:$CU$192)</f>
        <v>0</v>
      </c>
      <c r="CV199" s="951">
        <f>SUMIF($E$4:$E$194,"111",$CV$4:$CV$194)</f>
        <v>0</v>
      </c>
      <c r="CW199" s="951">
        <f>SUMIF($E$4:$E$192,"111",$CW$4:$CW$192)</f>
        <v>0</v>
      </c>
      <c r="CX199" s="951">
        <f>SUMIF($E$4:$E$192,"111",$CX$4:$CX$192)</f>
        <v>0</v>
      </c>
      <c r="CY199" s="951">
        <f>SUMIF($E$4:$E$192,"111",$CY$4:$CY$192)</f>
        <v>0</v>
      </c>
      <c r="CZ199" s="951">
        <f>SUMIF($E$4:$E$192,"111",$CZ$4:$CZ$192)</f>
        <v>0</v>
      </c>
      <c r="DA199" s="951">
        <f>SUMIF($E$4:$E$192,"111",$DA$4:$DA$192)</f>
        <v>0</v>
      </c>
      <c r="DB199" s="951">
        <f>SUMIF($E$4:$E$192,"111",$DB$4:$DB$192)</f>
        <v>0</v>
      </c>
      <c r="DC199" s="951">
        <f>SUMIF($E$4:$E$192,"111",$DC$4:$DC$192)</f>
        <v>0</v>
      </c>
      <c r="DD199" s="951">
        <f>SUMIF($E$4:$E$192,"111",$DD$4:$DD$192)</f>
        <v>22661694</v>
      </c>
      <c r="DE199" s="951">
        <f>SUMIF($E$4:$E$192,"111",$DE$4:$DE$192)</f>
        <v>0</v>
      </c>
      <c r="DF199" s="951">
        <f>SUMIF($E$4:$E$192,"111",$DF$4:$DF$192)</f>
        <v>0</v>
      </c>
      <c r="DG199" s="951">
        <f>SUMIF($E$4:$E$192,"111",$DG$4:$DG$192)</f>
        <v>0</v>
      </c>
      <c r="DH199" s="952">
        <f>SUMIF($E$4:$E$192,"111",$DH$4:$DH$192)</f>
        <v>55483385</v>
      </c>
      <c r="DI199" s="1011">
        <f t="shared" ref="DI199:DI207" si="209">1-CM199</f>
        <v>0.65732530930828514</v>
      </c>
      <c r="DJ199" s="149">
        <f t="shared" ref="DJ199:DJ204" si="210">SUM(DK199:ED199)</f>
        <v>4376207355</v>
      </c>
      <c r="DK199" s="1040">
        <f>SUMIF($E$4:$E$194,"111",$DK$4:$DK$194)</f>
        <v>0</v>
      </c>
      <c r="DL199" s="953">
        <f>SUMIF($E$4:$E$194,"111",$DL$4:$DL$194)</f>
        <v>0</v>
      </c>
      <c r="DM199" s="953">
        <f>SUMIF($E$4:$E$194,"111",$DM$4:$DM$194)</f>
        <v>0</v>
      </c>
      <c r="DN199" s="953">
        <f>SUMIF($E$4:$E$194,"111",$DN$4:$DN$194)</f>
        <v>3952661593</v>
      </c>
      <c r="DO199" s="953">
        <f>SUMIF($E$4:$E$194,"111",$DO$4:$DO$194)</f>
        <v>7460794</v>
      </c>
      <c r="DP199" s="953">
        <f>SUMIF($E$4:$E$194,"111",$DP$4:$DP$194)</f>
        <v>5000000</v>
      </c>
      <c r="DQ199" s="953">
        <f>SUMIF($E$4:$E$194,"111",$DQ$4:$DQ$194)</f>
        <v>0</v>
      </c>
      <c r="DR199" s="953">
        <f>SUMIF($E$4:$E$194,"111",$DR$4:$DR$194)</f>
        <v>0</v>
      </c>
      <c r="DS199" s="208">
        <f>SUMIF($E$4:$E$192,"111",$DS$4:$DS$192)</f>
        <v>0</v>
      </c>
      <c r="DT199" s="208">
        <f>SUMIF($E$4:$E$192,"111",$DT$4:$DT$192)</f>
        <v>1940856</v>
      </c>
      <c r="DU199" s="208">
        <f>SUMIF($E$4:$E$194,"111",$DU$4:$DU$194)</f>
        <v>3438802</v>
      </c>
      <c r="DV199" s="208">
        <f>SUMIF($E$4:$E$192,"111",$DV$4:$DV$192)</f>
        <v>186380309</v>
      </c>
      <c r="DW199" s="208">
        <f>SUMIF($E$4:$E$192,"111",$DW$4:$DW$192)</f>
        <v>0</v>
      </c>
      <c r="DX199" s="208">
        <f>SUMIF($E$4:$E$194,"111",$DX$4:$DX$194)</f>
        <v>0</v>
      </c>
      <c r="DY199" s="208">
        <f>SUMIF($E$4:$E$194,"111",$DY$4:$DY$194)</f>
        <v>75649551</v>
      </c>
      <c r="DZ199" s="208">
        <f>SUMIF($E$4:$E$192,"111",$DZ$4:$DZ$192)</f>
        <v>6043835</v>
      </c>
      <c r="EA199" s="208">
        <f>SUMIF($E$4:$E$192,"111",$EA$4:$EA$192)</f>
        <v>0</v>
      </c>
      <c r="EB199" s="208">
        <f>SUMIF($E$4:$E$192,"111",$EB$4:$EB$192)</f>
        <v>0</v>
      </c>
      <c r="EC199" s="208">
        <f>SUMIF($E$4:$E$192,"111",$EC$4:$EC$192)</f>
        <v>0</v>
      </c>
      <c r="ED199" s="208">
        <f>SUMIF($E$4:$E$194,"111",$ED$4:$ED$194)</f>
        <v>137631615</v>
      </c>
    </row>
    <row r="200" spans="1:134" ht="18" customHeight="1" x14ac:dyDescent="0.25">
      <c r="C200" s="987"/>
      <c r="D200" s="1098" t="s">
        <v>4589</v>
      </c>
      <c r="E200" s="239">
        <v>211</v>
      </c>
      <c r="F200" s="133"/>
      <c r="G200" s="875">
        <f>SUMIF($E$4:$E$194,"211",$G$4:$G$194)</f>
        <v>0</v>
      </c>
      <c r="H200" s="1060">
        <f>SUMIF($E$4:$E$194,"211",$H$4:$H$194)</f>
        <v>2334992155</v>
      </c>
      <c r="I200" s="1060">
        <f>SUMIF($E$4:$E$194,"211",$I$4:$I$194)</f>
        <v>1306279635</v>
      </c>
      <c r="J200" s="133"/>
      <c r="K200" s="133"/>
      <c r="L200" s="133"/>
      <c r="M200" s="133"/>
      <c r="N200" s="133"/>
      <c r="O200" s="133"/>
      <c r="P200" s="133"/>
      <c r="Q200" s="133"/>
      <c r="R200" s="133"/>
      <c r="S200" s="133"/>
      <c r="T200" s="133"/>
      <c r="U200" s="133"/>
      <c r="V200" s="133"/>
      <c r="W200" s="133"/>
      <c r="X200" s="133"/>
      <c r="Y200" s="951">
        <f>SUMIF($E$4:$E$194,"211",$Y$4:$Y$194)</f>
        <v>3641271790</v>
      </c>
      <c r="Z200" s="951">
        <f>SUMIF($E$4:$E$194,"211",$Z$4:$Z$194)</f>
        <v>0</v>
      </c>
      <c r="AA200" s="216">
        <f>SUMIF($E$4:$E$195,"211",$AA$4:$AA$195)</f>
        <v>0</v>
      </c>
      <c r="AB200" s="216">
        <f>SUMIF($E$4:$E$195,"211",$AB$4:$AB$195)</f>
        <v>0</v>
      </c>
      <c r="AC200" s="216">
        <f>SUMIF($E$4:$E$195,"211",$AC$4:$AC$195)</f>
        <v>2893065433</v>
      </c>
      <c r="AD200" s="951">
        <f>SUMIF($E$4:$E$194,"211",$AD$4:$AD$194)</f>
        <v>0</v>
      </c>
      <c r="AE200" s="133">
        <f>SUMIF($E$4:$E$192,"211",$AE$4:$AE$192)</f>
        <v>210000000</v>
      </c>
      <c r="AF200" s="133">
        <f>SUMIF($E$4:$E$192,"211",$AF$4:$AF$192)</f>
        <v>0</v>
      </c>
      <c r="AG200" s="133">
        <f>SUMIF($E$4:$E$192,"211",$AG$4:$AG$192)</f>
        <v>0</v>
      </c>
      <c r="AH200" s="133">
        <f>SUMIF($E$4:$E$192,"211",$AH$4:$AH$192)</f>
        <v>0</v>
      </c>
      <c r="AI200" s="133">
        <f>SUMIF($E$4:$E$192,"211",$AI$4:$AI$192)</f>
        <v>0</v>
      </c>
      <c r="AJ200" s="133">
        <f>SUMIF($E$4:$E$192,"211",$AJ$4:$AJ$192)</f>
        <v>0</v>
      </c>
      <c r="AK200" s="133">
        <f>SUMIF($E$4:$E$192,"211",$AK$4:$AK$192)</f>
        <v>132284205</v>
      </c>
      <c r="AL200" s="133">
        <f>SUMIF($E$4:$E$192,"211",$AL$4:$AL$192)</f>
        <v>0</v>
      </c>
      <c r="AM200" s="133">
        <f>SUMIF($E$4:$E$192,"211",$AM$4:$AM$192)</f>
        <v>0</v>
      </c>
      <c r="AN200" s="133">
        <f>SUMIF($E$4:$E$192,"211",$AN$4:$AN$192)</f>
        <v>39070000</v>
      </c>
      <c r="AO200" s="133">
        <f>SUMIF($E$4:$E$192,"211",$AO$4:$AO$192)</f>
        <v>25530452</v>
      </c>
      <c r="AP200" s="133">
        <f>SUMIF($E$4:$E$192,"211",$AP$4:$AP$192)</f>
        <v>0</v>
      </c>
      <c r="AQ200" s="133">
        <f>SUMIF($E$4:$E$192,"211",$AQ$4:$AQ$192)</f>
        <v>0</v>
      </c>
      <c r="AR200" s="133">
        <f>SUMIF($E$4:$E$192,"211",$AR$4:$AR$192)</f>
        <v>92524043</v>
      </c>
      <c r="AS200" s="133">
        <f>SUMIF($E$4:$E$194,"211",$AS$4:$AS$194)</f>
        <v>248797657</v>
      </c>
      <c r="AU200" s="946">
        <f t="shared" si="203"/>
        <v>0.8612713996282052</v>
      </c>
      <c r="AV200" s="218">
        <f t="shared" si="204"/>
        <v>3136123251</v>
      </c>
      <c r="AW200" s="951">
        <f>SUMIF($E$4:$E$192,"211",$AW$4:$AW$192)</f>
        <v>0</v>
      </c>
      <c r="AX200" s="951">
        <f>SUMIF($E$4:$E$194,"211",$AX$4:$AX$194)</f>
        <v>0</v>
      </c>
      <c r="AY200" s="951">
        <f>SUMIF($E$4:$E$194,"211",$AY$4:$AY$194)</f>
        <v>0</v>
      </c>
      <c r="AZ200" s="951">
        <f>SUMIF($E$4:$E$194,"211",$AZ$4:$AZ$194)</f>
        <v>2524193980</v>
      </c>
      <c r="BA200" s="951">
        <f>SUMIF($E$4:$E$192,"211",$BA$4:$BA$192)</f>
        <v>0</v>
      </c>
      <c r="BB200" s="951">
        <f>SUMIF($E$4:$E$192,"211",$BB$4:$BB$192)</f>
        <v>208875197</v>
      </c>
      <c r="BC200" s="951">
        <f>SUMIF($E$4:$E$194,"211",$BC$4:$BC$194)</f>
        <v>0</v>
      </c>
      <c r="BD200" s="951">
        <f>SUMIF($E$4:$E$194,"211",$BD$4:$BD$194)</f>
        <v>0</v>
      </c>
      <c r="BE200" s="951">
        <f>SUMIF($E$4:$E$192,"211",$BE$4:$BE$192)</f>
        <v>0</v>
      </c>
      <c r="BF200" s="951">
        <f>SUMIF($E$4:$E$192,"211",$BF$4:$BF$192)</f>
        <v>0</v>
      </c>
      <c r="BG200" s="951">
        <f>SUMIF($E$4:$E$192,"211",$BG$4:$BG$192)</f>
        <v>0</v>
      </c>
      <c r="BH200" s="951">
        <f>SUMIF($E$4:$E$192,"211",$BH$4:$BH$192)</f>
        <v>50855038</v>
      </c>
      <c r="BI200" s="951">
        <f>SUMIF($E$4:$E$192,"211",$BI$4:$BI$192)</f>
        <v>0</v>
      </c>
      <c r="BJ200" s="951">
        <f>SUMIF($E$4:$E$192,"211",$BJ$4:$BJ$192)</f>
        <v>0</v>
      </c>
      <c r="BK200" s="951">
        <f>SUMIF($E$4:$E$194,"211",$BK$4:$BK$194)</f>
        <v>33071786</v>
      </c>
      <c r="BL200" s="951">
        <f>SUMIF($E$4:$E$192,"211",$BL$4:$BL$192)</f>
        <v>25530452</v>
      </c>
      <c r="BM200" s="951">
        <f>SUMIF($E$4:$E$192,"211",$BM$4:$BM$192)</f>
        <v>0</v>
      </c>
      <c r="BN200" s="951">
        <f>SUMIF($E$4:$E$192,"211",$BN$4:$BN$192)</f>
        <v>0</v>
      </c>
      <c r="BO200" s="951">
        <f>SUMIF($E$4:$E$192,"211",$BO$4:$BO$192)</f>
        <v>92524043</v>
      </c>
      <c r="BP200" s="951">
        <f>SUMIF($E$4:$E$194,"211",$BP$4:$BP$194)</f>
        <v>201072755</v>
      </c>
      <c r="BQ200" s="950">
        <f t="shared" si="205"/>
        <v>0.1387286003717948</v>
      </c>
      <c r="BR200" s="149">
        <f t="shared" si="206"/>
        <v>505148539</v>
      </c>
      <c r="BS200" s="953">
        <f>SUMIF($E$4:$E$192,"211",$BS$4:$BS$192)</f>
        <v>0</v>
      </c>
      <c r="BT200" s="953">
        <f>SUMIF($E$4:$E$192,"211",$BT$4:$BT$192)</f>
        <v>0</v>
      </c>
      <c r="BU200" s="953">
        <f>SUMIF($E$4:$E$192,"211",$BU$4:$BU$192)</f>
        <v>0</v>
      </c>
      <c r="BV200" s="953">
        <f>SUMIF($E$4:$E$194,"211",$BV$4:$BV$194)</f>
        <v>368871453</v>
      </c>
      <c r="BW200" s="953">
        <f>SUMIF($E$4:$E$194,"211",$BW$4:$BW$194)</f>
        <v>0</v>
      </c>
      <c r="BX200" s="953">
        <f>SUMIF($E$4:$E$194,"211",$BX$4:$BX$194)</f>
        <v>1124803</v>
      </c>
      <c r="BY200" s="953">
        <f>SUMIF($E$4:$E$194,"211",$BY$4:$BY$194)</f>
        <v>0</v>
      </c>
      <c r="BZ200" s="953">
        <f>SUMIF($E$4:$E$192,"211",$BZ$4:$BZ$192)</f>
        <v>0</v>
      </c>
      <c r="CA200" s="953">
        <f>SUMIF($E$4:$E$192,"211",$CA$4:$CA$192)</f>
        <v>0</v>
      </c>
      <c r="CB200" s="953">
        <f>SUMIF($E$4:$E$192,"211",$CB$4:$CB$192)</f>
        <v>0</v>
      </c>
      <c r="CC200" s="953">
        <f>SUMIF($E$4:$E$192,"211",$CC$4:$CC$192)</f>
        <v>0</v>
      </c>
      <c r="CD200" s="953">
        <f>SUMIF($E$4:$E$192,"211",$CD$4:$CD$192)</f>
        <v>81429167</v>
      </c>
      <c r="CE200" s="953">
        <f>SUMIF($E$4:$E$192,"211",$CE$4:$CE$192)</f>
        <v>0</v>
      </c>
      <c r="CF200" s="953">
        <f>SUMIF($E$4:$E$192,"211",$CF$4:$CF$192)</f>
        <v>0</v>
      </c>
      <c r="CG200" s="953">
        <f>SUMIF($E$4:$E$192,"211",$CG$4:$CG$192)</f>
        <v>5998214</v>
      </c>
      <c r="CH200" s="953">
        <f>SUMIF($E$4:$E$192,"211",$CH$4:$CH$192)</f>
        <v>0</v>
      </c>
      <c r="CI200" s="953">
        <f>SUMIF($E$4:$E$192,"211",$CI$4:$CI$192)</f>
        <v>0</v>
      </c>
      <c r="CJ200" s="953">
        <f>SUMIF($E$4:$E$192,"211",$CJ$4:$CJ$192)</f>
        <v>0</v>
      </c>
      <c r="CK200" s="953">
        <f>SUMIF($E$4:$E$192,"211",$CK$4:$CK$192)</f>
        <v>0</v>
      </c>
      <c r="CL200" s="956">
        <f>SUMIF($E$4:$E$194,"211",$CL$4:$CL$194)</f>
        <v>47724902</v>
      </c>
      <c r="CM200" s="959">
        <f t="shared" si="207"/>
        <v>0.64125731053984303</v>
      </c>
      <c r="CN200" s="944">
        <f t="shared" si="208"/>
        <v>2334992155</v>
      </c>
      <c r="CO200" s="951">
        <f>SUMIF($E$4:$E$194,"211",$CO$4:$CO$194)</f>
        <v>0</v>
      </c>
      <c r="CP200" s="951">
        <f>SUMIF($E$4:$E$192,"211",$CP$4:$CP$192)</f>
        <v>0</v>
      </c>
      <c r="CQ200" s="951">
        <f>SUMIF($E$4:$E$192,"211",$CQ$4:$CQ$192)</f>
        <v>0</v>
      </c>
      <c r="CR200" s="951">
        <f>SUMIF($E$4:$E$192,"211",$CR$4:$CR$192)</f>
        <v>1915298702</v>
      </c>
      <c r="CS200" s="951">
        <f>SUMIF($E$4:$E$194,"211",$CS$4:$CS$194)</f>
        <v>0</v>
      </c>
      <c r="CT200" s="951">
        <f>SUMIF($E$4:$E$192,"211",$CT$4:$CT$192)</f>
        <v>208736238</v>
      </c>
      <c r="CU200" s="951">
        <f>SUMIF($E$4:$E$192,"211",$CU$4:$CU$192)</f>
        <v>0</v>
      </c>
      <c r="CV200" s="951">
        <f>SUMIF($E$4:$E$194,"211",$CV$4:$CV$194)</f>
        <v>0</v>
      </c>
      <c r="CW200" s="951">
        <f>SUMIF($E$4:$E$192,"211",$CW$4:$CW$192)</f>
        <v>0</v>
      </c>
      <c r="CX200" s="951">
        <f>SUMIF($E$4:$E$192,"211",$CX$4:$CX$192)</f>
        <v>0</v>
      </c>
      <c r="CY200" s="951">
        <f>SUMIF($E$4:$E$192,"211",$CY$4:$CY$192)</f>
        <v>0</v>
      </c>
      <c r="CZ200" s="951">
        <f>SUMIF($E$4:$E$192,"211",$CZ$4:$CZ$192)</f>
        <v>50855038</v>
      </c>
      <c r="DA200" s="951">
        <f>SUMIF($E$4:$E$192,"211",$DA$4:$DA$192)</f>
        <v>0</v>
      </c>
      <c r="DB200" s="951">
        <f>SUMIF($E$4:$E$192,"211",$DB$4:$DB$192)</f>
        <v>0</v>
      </c>
      <c r="DC200" s="951">
        <f>SUMIF($E$4:$E$192,"211",$DC$4:$DC$192)</f>
        <v>26680000</v>
      </c>
      <c r="DD200" s="951">
        <f>SUMIF($E$4:$E$192,"211",$DD$4:$DD$192)</f>
        <v>7976469</v>
      </c>
      <c r="DE200" s="951">
        <f>SUMIF($E$4:$E$192,"211",$DE$4:$DE$192)</f>
        <v>0</v>
      </c>
      <c r="DF200" s="951">
        <f>SUMIF($E$4:$E$192,"211",$DF$4:$DF$192)</f>
        <v>0</v>
      </c>
      <c r="DG200" s="951">
        <f>SUMIF($E$4:$E$192,"211",$DG$4:$DG$192)</f>
        <v>0</v>
      </c>
      <c r="DH200" s="952">
        <f>SUMIF($E$4:$E$192,"211",$DH$4:$DH$192)</f>
        <v>125445708</v>
      </c>
      <c r="DI200" s="1011">
        <f t="shared" si="209"/>
        <v>0.35874268946015697</v>
      </c>
      <c r="DJ200" s="149">
        <f t="shared" ca="1" si="210"/>
        <v>1306279635</v>
      </c>
      <c r="DK200" s="1040">
        <f>SUMIF($E$4:$E$194,"211",$DK$4:$DK$194)</f>
        <v>0</v>
      </c>
      <c r="DL200" s="953">
        <f ca="1">SUMIF($E$4:$E$195,"211",$DL$4:$DL$194)</f>
        <v>0</v>
      </c>
      <c r="DM200" s="953">
        <f>SUMIF($E$4:$E$194,"211",$DM$4:$DM$194)</f>
        <v>0</v>
      </c>
      <c r="DN200" s="953">
        <f>SUMIF($E$4:$E$194,"211",$DN$4:$DN$194)</f>
        <v>977766731</v>
      </c>
      <c r="DO200" s="953">
        <f>SUMIF($E$4:$E$194,"211",$DO$4:$DO$194)</f>
        <v>0</v>
      </c>
      <c r="DP200" s="953">
        <f>SUMIF($E$4:$E$194,"211",$DP$4:$DP$194)</f>
        <v>1263762</v>
      </c>
      <c r="DQ200" s="953">
        <f>SUMIF($E$4:$E$194,"211",$DQ$4:$DQ$194)</f>
        <v>0</v>
      </c>
      <c r="DR200" s="953">
        <f>SUMIF($E$4:$E$194,"211",$DR$4:$DR$194)</f>
        <v>0</v>
      </c>
      <c r="DS200" s="208">
        <f>SUMIF($E$4:$E$192,"211",$DS$4:$DS$192)</f>
        <v>0</v>
      </c>
      <c r="DT200" s="208">
        <f>SUMIF($E$4:$E$192,"211",$DT$4:$DT$192)</f>
        <v>0</v>
      </c>
      <c r="DU200" s="208">
        <f>SUMIF($E$4:$E$194,"211",$DU$4:$DU$194)</f>
        <v>0</v>
      </c>
      <c r="DV200" s="208">
        <f>SUMIF($E$4:$E$192,"211",$DV$4:$DV$192)</f>
        <v>81429167</v>
      </c>
      <c r="DW200" s="208">
        <f>SUMIF($E$4:$E$192,"211",$DW$4:$DW$192)</f>
        <v>0</v>
      </c>
      <c r="DX200" s="208">
        <f>SUMIF($E$4:$E$194,"211",$DX$4:$DX$194)</f>
        <v>0</v>
      </c>
      <c r="DY200" s="208">
        <f>SUMIF($E$4:$E$194,"211",$DY$4:$DY$194)</f>
        <v>12390000</v>
      </c>
      <c r="DZ200" s="208">
        <f>SUMIF($E$4:$E$192,"211",$DZ$4:$DZ$192)</f>
        <v>17553983</v>
      </c>
      <c r="EA200" s="208">
        <f>SUMIF($E$4:$E$192,"211",$EA$4:$EA$192)</f>
        <v>0</v>
      </c>
      <c r="EB200" s="208">
        <f>SUMIF($E$4:$E$192,"211",$EB$4:$EB$192)</f>
        <v>0</v>
      </c>
      <c r="EC200" s="208">
        <f>SUMIF($E$4:$E$192,"211",$EC$4:$EC$192)</f>
        <v>92524043</v>
      </c>
      <c r="ED200" s="208">
        <f>SUMIF($E$4:$E$194,"211",$ED$4:$ED$194)</f>
        <v>123351949</v>
      </c>
    </row>
    <row r="201" spans="1:134" ht="16.5" customHeight="1" x14ac:dyDescent="0.25">
      <c r="C201" s="987"/>
      <c r="D201" s="1098" t="s">
        <v>674</v>
      </c>
      <c r="E201" s="239">
        <v>310</v>
      </c>
      <c r="F201" s="133"/>
      <c r="G201" s="875">
        <f>SUMIF($E$4:$E$194,"310",$G$4:$G$194)</f>
        <v>1203000000</v>
      </c>
      <c r="H201" s="1060">
        <f>SUMIF($E$4:$E$194,"310",$H$4:$H$194)</f>
        <v>867111433</v>
      </c>
      <c r="I201" s="1060">
        <f>SUMIF($E$4:$E$194,"310",$I$4:$I$194)</f>
        <v>309141751</v>
      </c>
      <c r="J201" s="133"/>
      <c r="K201" s="133"/>
      <c r="L201" s="133"/>
      <c r="M201" s="133"/>
      <c r="N201" s="133"/>
      <c r="O201" s="133"/>
      <c r="P201" s="133"/>
      <c r="Q201" s="133"/>
      <c r="R201" s="133"/>
      <c r="S201" s="133"/>
      <c r="T201" s="133"/>
      <c r="U201" s="133"/>
      <c r="V201" s="133"/>
      <c r="W201" s="133"/>
      <c r="X201" s="133"/>
      <c r="Y201" s="951">
        <f>SUMIF($E$4:$E$194,"310",$Y$4:$Y$195)</f>
        <v>1176253184</v>
      </c>
      <c r="Z201" s="951">
        <f>SUMIF($E$4:$E$194,"310",$Z$4:$Z$194)</f>
        <v>0</v>
      </c>
      <c r="AA201" s="216">
        <f>SUMIF($E$4:$E$192,"310",$AA$4:$AA$192)</f>
        <v>0</v>
      </c>
      <c r="AB201" s="216">
        <f>SUMIF($E$4:$E$195,"310",$AB$4:$AB$195)</f>
        <v>0</v>
      </c>
      <c r="AC201" s="216">
        <f>SUMIF($E$4:$E$192,"310",$AC$4:$AC$192)</f>
        <v>0</v>
      </c>
      <c r="AD201" s="951">
        <f>SUMIF($E$4:$E$194,"310",$AD$4:$AD$194)</f>
        <v>0</v>
      </c>
      <c r="AE201" s="133">
        <f>SUMIF($E$4:$E$192,"310",$AE$4:$AE$192)</f>
        <v>420000000</v>
      </c>
      <c r="AF201" s="133">
        <f>SUMIF($E$4:$E$192,"310",$AF$4:$AF$192)</f>
        <v>321985144</v>
      </c>
      <c r="AG201" s="133">
        <f>SUMIF($E$4:$E$192,"310",$AG$4:$AG$192)</f>
        <v>0</v>
      </c>
      <c r="AH201" s="133">
        <f>SUMIF($E$4:$E$192,"310",$AH$4:$AH$192)</f>
        <v>0</v>
      </c>
      <c r="AI201" s="133">
        <f>SUMIF($E$4:$E$192,"310",$AI$4:$AI$192)</f>
        <v>0</v>
      </c>
      <c r="AJ201" s="133">
        <f>SUMIF($E$4:$E$192,"310",$AJ$4:$AJ$192)</f>
        <v>0</v>
      </c>
      <c r="AK201" s="133">
        <f>SUMIF($E$4:$E$192,"310",$AK$4:$AK$192)</f>
        <v>0</v>
      </c>
      <c r="AL201" s="133">
        <f>SUMIF($E$4:$E$192,"310",$AL$4:$AL$192)</f>
        <v>0</v>
      </c>
      <c r="AM201" s="133">
        <f>SUMIF($E$4:$E$192,"310",$AM$4:$AM$192)</f>
        <v>0</v>
      </c>
      <c r="AN201" s="133">
        <f>SUMIF($E$4:$E$192,"310",$AN$4:$AN$192)</f>
        <v>36000000</v>
      </c>
      <c r="AO201" s="133">
        <f>SUMIF($E$4:$E$192,"310",$AO$4:$AO$192)</f>
        <v>273344421</v>
      </c>
      <c r="AP201" s="133">
        <f>SUMIF($E$4:$E$163,"310",$AP$4:$AP$163)</f>
        <v>0</v>
      </c>
      <c r="AQ201" s="133">
        <f>SUMIF($E$4:$E$192,"310",$AQ$4:$AQ$192)</f>
        <v>0</v>
      </c>
      <c r="AR201" s="133">
        <f>SUMIF($E$4:$E$192,"310",$AR$4:$AR$192)</f>
        <v>0</v>
      </c>
      <c r="AS201" s="133">
        <f>SUMIF($E$4:$E$194,"310",$AS$4:$AS$194)</f>
        <v>124923619</v>
      </c>
      <c r="AU201" s="946">
        <f t="shared" si="203"/>
        <v>0.83862056861390821</v>
      </c>
      <c r="AV201" s="943">
        <f t="shared" si="204"/>
        <v>986430114</v>
      </c>
      <c r="AW201" s="951">
        <f>SUMIF($E$4:$E$192,"310",$AW$4:$AW$192)</f>
        <v>0</v>
      </c>
      <c r="AX201" s="951">
        <f>SUMIF($E$4:$E$194,"310",$AX$4:$AX$194)</f>
        <v>0</v>
      </c>
      <c r="AY201" s="951">
        <f>SUMIF($E$4:$E$194,"310",$AY$4:$AY$194)</f>
        <v>0</v>
      </c>
      <c r="AZ201" s="951">
        <f>SUMIF($E$4:$E$194,"310",$AZ$4:$AZ$194)</f>
        <v>0</v>
      </c>
      <c r="BA201" s="951">
        <f>SUMIF($E$4:$E$192,"310",$BA$4:$BA$192)</f>
        <v>0</v>
      </c>
      <c r="BB201" s="951">
        <f>SUMIF($E$4:$E$192,"310",$BB$4:$BB$192)</f>
        <v>339006302</v>
      </c>
      <c r="BC201" s="951">
        <f>SUMIF($E$4:$E$194,"310",$BC$4:$BC$194)</f>
        <v>264170675</v>
      </c>
      <c r="BD201" s="951">
        <f>SUMIF($E$4:$E$194,"310",$BD$4:$BD$194)</f>
        <v>0</v>
      </c>
      <c r="BE201" s="951">
        <f>SUMIF($E$4:$E$192,"310",$BE$4:$BE$192)</f>
        <v>0</v>
      </c>
      <c r="BF201" s="951">
        <f>SUMIF($E$4:$E$192,"310",$BF$4:$BF$192)</f>
        <v>0</v>
      </c>
      <c r="BG201" s="951">
        <f>SUMIF($E$4:$E$163,"310",$BG$4:$BG$163)</f>
        <v>0</v>
      </c>
      <c r="BH201" s="951">
        <f>SUMIF($E$4:$E$192,"310",$BH$4:$BH$192)</f>
        <v>0</v>
      </c>
      <c r="BI201" s="951">
        <f>SUMIF($E$4:$E$192,"310",$BI$4:$BI$192)</f>
        <v>0</v>
      </c>
      <c r="BJ201" s="951">
        <f>SUMIF($E$4:$E$192,"310",$BJ$4:$BJ$192)</f>
        <v>0</v>
      </c>
      <c r="BK201" s="951">
        <f>SUMIF($E$4:$E$194,"310",$BK$4:$BK$194)</f>
        <v>0</v>
      </c>
      <c r="BL201" s="951">
        <f>SUMIF($E$4:$E$192,"310",$BL$4:$BL$192)</f>
        <v>273344421</v>
      </c>
      <c r="BM201" s="951">
        <f>SUMIF($E$4:$E$192,"310",$BM$4:$BM$192)</f>
        <v>0</v>
      </c>
      <c r="BN201" s="951">
        <f>SUMIF($E$4:$E$192,"310",$BN$4:$BN$192)</f>
        <v>0</v>
      </c>
      <c r="BO201" s="951">
        <f>SUMIF($E$4:$E$192,"310",$BO$4:$BO$192)</f>
        <v>0</v>
      </c>
      <c r="BP201" s="951">
        <f>SUMIF($E$4:$E$194,"310",$BP$4:$BP$194)</f>
        <v>109908716</v>
      </c>
      <c r="BQ201" s="950">
        <f t="shared" si="205"/>
        <v>0.16137943138609179</v>
      </c>
      <c r="BR201" s="149">
        <f t="shared" si="206"/>
        <v>189823070</v>
      </c>
      <c r="BS201" s="953">
        <f>SUMIF($E$4:$E$192,"310",$BS$4:$BS$192)</f>
        <v>0</v>
      </c>
      <c r="BT201" s="953">
        <f>SUMIF($E$4:$E$192,"310",$BT$4:$BT$192)</f>
        <v>0</v>
      </c>
      <c r="BU201" s="953">
        <f>SUMIF($E$4:$E$192,"310",$BU$4:$BU$192)</f>
        <v>0</v>
      </c>
      <c r="BV201" s="953">
        <f>SUMIF($E$4:$E$194,"310",$BV$4:$BV$194)</f>
        <v>0</v>
      </c>
      <c r="BW201" s="953">
        <f>SUMIF($E$4:$E$194,"310",$BW$4:$BW$194)</f>
        <v>0</v>
      </c>
      <c r="BX201" s="953">
        <f>SUMIF($E$4:$E$194,"310",$BX$4:$BX$194)</f>
        <v>80993698</v>
      </c>
      <c r="BY201" s="953">
        <f>SUMIF($E$4:$E$194,"310",$BY$4:$BY$194)</f>
        <v>57814469</v>
      </c>
      <c r="BZ201" s="953">
        <f>SUMIF($E$4:$E$192,"310",$BZ$4:$BZ$192)</f>
        <v>0</v>
      </c>
      <c r="CA201" s="953">
        <f>SUMIF($E$4:$E$192,"310",$CA$4:$CA$192)</f>
        <v>0</v>
      </c>
      <c r="CB201" s="953">
        <f>SUMIF($E$4:$E$192,"310",$CB$4:$CB$192)</f>
        <v>0</v>
      </c>
      <c r="CC201" s="953">
        <f>SUMIF($E$4:$E$192,"310",$CC$4:$CC$192)</f>
        <v>0</v>
      </c>
      <c r="CD201" s="953">
        <f>SUMIF($E$4:$E$192,"310",$CD$4:$CD$192)</f>
        <v>0</v>
      </c>
      <c r="CE201" s="953">
        <f>SUMIF($E$4:$E$192,"310",$CE$4:$CE$192)</f>
        <v>0</v>
      </c>
      <c r="CF201" s="953">
        <f>SUMIF($E$4:$E$192,"310",$CF$4:$CF$192)</f>
        <v>0</v>
      </c>
      <c r="CG201" s="953">
        <f>SUMIF($E$4:$E$192,"310",$CG$4:$CG$192)</f>
        <v>36000000</v>
      </c>
      <c r="CH201" s="953">
        <f>SUMIF($E$4:$E$192,"310",$CH$4:$CH$192)</f>
        <v>0</v>
      </c>
      <c r="CI201" s="953">
        <f>SUMIF($E$4:$E$192,"310",$CI$4:$CI$192)</f>
        <v>0</v>
      </c>
      <c r="CJ201" s="953">
        <f>SUMIF($E$4:$E$192,"310",$CJ$4:$CJ$192)</f>
        <v>0</v>
      </c>
      <c r="CK201" s="953">
        <f>SUMIF($E$4:$E$192,"310",$CK$4:$CK$192)</f>
        <v>0</v>
      </c>
      <c r="CL201" s="956">
        <f>SUMIF($E$4:$E$194,"310",$CL$4:$CL$194)</f>
        <v>15014903</v>
      </c>
      <c r="CM201" s="959">
        <f t="shared" si="207"/>
        <v>0.73718094437056159</v>
      </c>
      <c r="CN201" s="944">
        <f t="shared" si="208"/>
        <v>867111433</v>
      </c>
      <c r="CO201" s="951">
        <f>SUMIF($E$4:$E$194,"310",$CO$4:$CO$194)</f>
        <v>0</v>
      </c>
      <c r="CP201" s="951">
        <f>SUMIF($E$4:$E$192,"310",$CP$4:$CP$192)</f>
        <v>0</v>
      </c>
      <c r="CQ201" s="951">
        <f>SUMIF($E$4:$E$192,"310",$CQ$4:$CQ$192)</f>
        <v>0</v>
      </c>
      <c r="CR201" s="951">
        <f>SUMIF($E$4:$E$192,"310",$CR$4:$CR$192)</f>
        <v>0</v>
      </c>
      <c r="CS201" s="951">
        <f>SUMIF($E$4:$E$194,"310",$CS$4:$CS$194)</f>
        <v>0</v>
      </c>
      <c r="CT201" s="951">
        <f>SUMIF($E$4:$E$194,"310",$CT$4:$CT$194)</f>
        <v>336684052</v>
      </c>
      <c r="CU201" s="951">
        <f>SUMIF($E$4:$E$194,"310",$CU$4:$CU$194)</f>
        <v>256875776</v>
      </c>
      <c r="CV201" s="951">
        <f>SUMIF($E$4:$E$194,"310",$CV$4:$CV$194)</f>
        <v>0</v>
      </c>
      <c r="CW201" s="951">
        <f>SUMIF($E$4:$E$192,"310",$CW$4:$CW$192)</f>
        <v>0</v>
      </c>
      <c r="CX201" s="951">
        <f>SUMIF($E$4:$E$192,"310",$CX$4:$CX$192)</f>
        <v>0</v>
      </c>
      <c r="CY201" s="951">
        <f>SUMIF($E$4:$E$192,"310",$CY$4:$CY$192)</f>
        <v>0</v>
      </c>
      <c r="CZ201" s="951">
        <f>SUMIF($E$4:$E$192,"310",$CZ$4:$CZ$192)</f>
        <v>0</v>
      </c>
      <c r="DA201" s="951">
        <f>SUMIF($E$4:$E$192,"310",$DA$4:$DA$192)</f>
        <v>0</v>
      </c>
      <c r="DB201" s="951">
        <f>SUMIF($E$4:$E$192,"310",$DB$4:$DB$192)</f>
        <v>0</v>
      </c>
      <c r="DC201" s="951">
        <f>SUMIF($E$4:$E$192,"310",$DC$4:$DC$192)</f>
        <v>0</v>
      </c>
      <c r="DD201" s="951">
        <f>SUMIF($E$4:$E$194,"310",$DD$4:$DD$194)</f>
        <v>194853743</v>
      </c>
      <c r="DE201" s="951">
        <f>SUMIF($E$4:$E$192,"310",$DE$4:$DE$192)</f>
        <v>0</v>
      </c>
      <c r="DF201" s="951">
        <f>SUMIF($E$4:$E$192,"310",$DF$4:$DF$192)</f>
        <v>0</v>
      </c>
      <c r="DG201" s="951">
        <f>SUMIF($E$4:$E$192,"310",$DG$4:$DG$192)</f>
        <v>0</v>
      </c>
      <c r="DH201" s="952">
        <f>SUMIF($E$4:$E$194,"310",$DH$4:$DH$194)</f>
        <v>78697862</v>
      </c>
      <c r="DI201" s="1011">
        <f t="shared" si="209"/>
        <v>0.26281905562943841</v>
      </c>
      <c r="DJ201" s="149">
        <f t="shared" si="210"/>
        <v>309141751</v>
      </c>
      <c r="DK201" s="1040">
        <f>SUMIF($E$4:$E$194,"310",$DK$4:$DK$194)</f>
        <v>0</v>
      </c>
      <c r="DL201" s="953">
        <f>SUMIF($E$4:$E$192,"310",$DL$4:$DL$192)</f>
        <v>0</v>
      </c>
      <c r="DM201" s="953">
        <f>SUMIF($E$4:$E$194,"310",$DM$4:$DM$194)</f>
        <v>0</v>
      </c>
      <c r="DN201" s="953">
        <f>SUMIF($E$4:$E$194,"310",$DN$4:$DN$194)</f>
        <v>0</v>
      </c>
      <c r="DO201" s="953">
        <f>SUMIF($E$4:$E$194,"310",$DO$4:$DO$194)</f>
        <v>0</v>
      </c>
      <c r="DP201" s="953">
        <f>SUMIF($E$4:$E$194,"310",$DP$4:$DP$194)</f>
        <v>83315948</v>
      </c>
      <c r="DQ201" s="953">
        <f>SUMIF($E$4:$E$194,"310",$DQ$4:$DQ$194)</f>
        <v>65109368</v>
      </c>
      <c r="DR201" s="953">
        <f>SUMIF($E$4:$E$194,"310",$DR$4:$DR$194)</f>
        <v>0</v>
      </c>
      <c r="DS201" s="208">
        <f>SUMIF($E$4:$E$192,"310",$DS$4:$DS$192)</f>
        <v>0</v>
      </c>
      <c r="DT201" s="208">
        <f>SUMIF($E$4:$E$192,"310",$DT$4:$DT$192)</f>
        <v>0</v>
      </c>
      <c r="DU201" s="208">
        <f>SUMIF($E$4:$E$194,"310",$DU$4:$DU$194)</f>
        <v>0</v>
      </c>
      <c r="DV201" s="208">
        <f>SUMIF($E$4:$E$192,"310",$DV$4:$DV$192)</f>
        <v>0</v>
      </c>
      <c r="DW201" s="208">
        <f>SUMIF($E$4:$E$192,"310",$DW$4:$DW$192)</f>
        <v>0</v>
      </c>
      <c r="DX201" s="208">
        <f>SUMIF($E$4:$E$194,"310",$DX$4:$DX$194)</f>
        <v>0</v>
      </c>
      <c r="DY201" s="208">
        <f>SUMIF($E$4:$E$194,"310",$DY$4:$DY$194)</f>
        <v>36000000</v>
      </c>
      <c r="DZ201" s="208">
        <f>SUMIF($E$4:$E$194,"310",$DZ$4:$DZ$194)</f>
        <v>78490678</v>
      </c>
      <c r="EA201" s="208">
        <f>SUMIF($E$4:$E$192,"310",$EA$4:$EA$192)</f>
        <v>0</v>
      </c>
      <c r="EB201" s="208">
        <f>SUMIF($E$4:$E$192,"310",$EB$4:$EB$192)</f>
        <v>0</v>
      </c>
      <c r="EC201" s="208">
        <f>SUMIF($E$4:$E$192,"310",$EC$4:$EC$192)</f>
        <v>0</v>
      </c>
      <c r="ED201" s="208">
        <f>SUMIF($E$4:$E$194,"310",$ED$4:$ED$194)</f>
        <v>46225757</v>
      </c>
    </row>
    <row r="202" spans="1:134" x14ac:dyDescent="0.25">
      <c r="C202" s="988"/>
      <c r="D202" s="1098" t="s">
        <v>443</v>
      </c>
      <c r="E202" s="239">
        <v>410</v>
      </c>
      <c r="F202" s="133"/>
      <c r="G202" s="875">
        <f>SUMIF($E$4:$E$194,"410",$G$4:$G$194)</f>
        <v>4593000000</v>
      </c>
      <c r="H202" s="1060">
        <f>SUMIF($E$4:$E$194,"410",$H$4:$H$194)</f>
        <v>3906305329</v>
      </c>
      <c r="I202" s="1060">
        <f>SUMIF($E$4:$E$194,"410",$I$4:$I$194)</f>
        <v>2629487400</v>
      </c>
      <c r="J202" s="133"/>
      <c r="K202" s="133"/>
      <c r="L202" s="133"/>
      <c r="M202" s="133"/>
      <c r="N202" s="133"/>
      <c r="O202" s="133"/>
      <c r="P202" s="133"/>
      <c r="Q202" s="133"/>
      <c r="R202" s="133"/>
      <c r="S202" s="133"/>
      <c r="T202" s="133"/>
      <c r="U202" s="133"/>
      <c r="V202" s="133"/>
      <c r="W202" s="133"/>
      <c r="X202" s="133"/>
      <c r="Y202" s="951">
        <f>SUMIF($E$4:$E$194,"410",$Y$4:$Y$194)</f>
        <v>6535792729</v>
      </c>
      <c r="Z202" s="951">
        <f>SUMIF($E$4:$E$194,"410",$Z$4:$Z$194)</f>
        <v>0</v>
      </c>
      <c r="AA202" s="216">
        <f>SUMIF($E$4:$E$192,"410",$AA$4:$AA$192)</f>
        <v>134533656</v>
      </c>
      <c r="AB202" s="216">
        <f>SUMIF($E$4:$E$195,"410",$AB$4:$AB$195)</f>
        <v>396726534</v>
      </c>
      <c r="AC202" s="216">
        <f>SUMIF($E$4:$E$195,"410",$AC$4:$AC$195)</f>
        <v>775722031</v>
      </c>
      <c r="AD202" s="951">
        <f>SUMIF($E$4:$E$194,"410",$AD$4:$AD$194)</f>
        <v>0</v>
      </c>
      <c r="AE202" s="133">
        <f>SUMIF($E$4:$E$192,"410",$AE$4:$AE$192)</f>
        <v>544180877</v>
      </c>
      <c r="AF202" s="133">
        <f>SUMIF($E$4:$E$192,"410",$AF$4:$AF$192)</f>
        <v>55000000</v>
      </c>
      <c r="AG202" s="133">
        <f>SUMIF($E$4:$E$192,"410",$AG$4:$AG$192)</f>
        <v>102810569</v>
      </c>
      <c r="AH202" s="133">
        <f>SUMIF($E$4:$E$192,"410",$AH$4:$AH$192)</f>
        <v>219471348</v>
      </c>
      <c r="AI202" s="133">
        <f>SUMIF($E$4:$E$192,"410",$AI$4:$AI$192)</f>
        <v>0</v>
      </c>
      <c r="AJ202" s="133">
        <f>SUMIF($E$4:$E$192,"410",$AJ$4:$AJ$192)</f>
        <v>0</v>
      </c>
      <c r="AK202" s="133">
        <f>SUMIF($E$4:$E$192,"410",$AK$4:$AK$192)</f>
        <v>0</v>
      </c>
      <c r="AL202" s="133">
        <f>SUMIF($E$4:$E$192,"410",$AL$4:$AL$192)</f>
        <v>3504013680</v>
      </c>
      <c r="AM202" s="133">
        <f>SUMIF($E$4:$E$192,"410",$AM$4:$AM$192)</f>
        <v>78609139</v>
      </c>
      <c r="AN202" s="133">
        <f>SUMIF($E$4:$E$192,"410",$AN$4:$AN$192)</f>
        <v>251718083</v>
      </c>
      <c r="AO202" s="133">
        <f>SUMIF($E$4:$E$163,"410",$AO$4:$AO$163)</f>
        <v>311973650</v>
      </c>
      <c r="AP202" s="133">
        <f>SUMIF($E$4:$E$163,"410",$AP$4:$AP$163)</f>
        <v>0</v>
      </c>
      <c r="AQ202" s="133">
        <f>SUMIF($E$4:$E$192,"410",$AQ$4:$AQ$192)</f>
        <v>80844085</v>
      </c>
      <c r="AR202" s="133">
        <f>SUMIF($E$4:$E$192,"410",$AR$4:$AR$192)</f>
        <v>0</v>
      </c>
      <c r="AS202" s="133">
        <f>SUMIF($E$4:$E$194,"410",$AS$4:$AS$194)</f>
        <v>80189077</v>
      </c>
      <c r="AU202" s="946">
        <f t="shared" si="203"/>
        <v>0.81595654989749911</v>
      </c>
      <c r="AV202" s="218">
        <f t="shared" si="204"/>
        <v>5332922886</v>
      </c>
      <c r="AW202" s="951">
        <f>SUMIF($E$4:$E$192,"410",$AW$4:$AW$192)</f>
        <v>0</v>
      </c>
      <c r="AX202" s="951">
        <f>SUMIF($E$4:$E$194,"410",$AX$4:$AX$194)</f>
        <v>127311678</v>
      </c>
      <c r="AY202" s="951">
        <f>SUMIF($E$4:$E$194,"410",$AY$4:$AY$194)</f>
        <v>364926534</v>
      </c>
      <c r="AZ202" s="951">
        <f>SUMIF($E$4:$E$194,"410",$AZ$4:$AZ$194)</f>
        <v>775722031</v>
      </c>
      <c r="BA202" s="951">
        <f>SUMIF($E$4:$E$192,"410",$BA$4:$BA$192)</f>
        <v>0</v>
      </c>
      <c r="BB202" s="951">
        <f>SUMIF($E$4:$E$192,"410",$BB$4:$BB$192)</f>
        <v>488016550</v>
      </c>
      <c r="BC202" s="951">
        <f>SUMIF($E$4:$E$194,"410",$BC$4:$BC$194)</f>
        <v>55000000</v>
      </c>
      <c r="BD202" s="951">
        <f>SUMIF($E$4:$E$194,"410",$BD$4:$BD$194)</f>
        <v>102810569</v>
      </c>
      <c r="BE202" s="951">
        <f>SUMIF($E$4:$E$192,"410",$BE$4:$BE$192)</f>
        <v>219471348</v>
      </c>
      <c r="BF202" s="951">
        <f>SUMIF($E$4:$E$192,"410",$BF$4:$BF$192)</f>
        <v>0</v>
      </c>
      <c r="BG202" s="951">
        <f>SUMIF($E$4:$E$163,"410",$BG$4:$BG$163)</f>
        <v>0</v>
      </c>
      <c r="BH202" s="951">
        <f>SUMIF($E$4:$E$192,"410",$BH$4:$BH$192)</f>
        <v>0</v>
      </c>
      <c r="BI202" s="951">
        <f>SUMIF($E$4:$E$192,"410",$BI$4:$BI$192)</f>
        <v>2411831294</v>
      </c>
      <c r="BJ202" s="951">
        <f>SUMIF($E$4:$E$192,"410",$BJ$4:$BJ$192)</f>
        <v>78609139</v>
      </c>
      <c r="BK202" s="951">
        <f>SUMIF($E$4:$E$194,"410",$BK$4:$BK$194)</f>
        <v>251718083</v>
      </c>
      <c r="BL202" s="951">
        <f>SUMIF($E$4:$E$192,"410",$BL$4:$BL$192)</f>
        <v>311973590</v>
      </c>
      <c r="BM202" s="951">
        <f>SUMIF($E$4:$E$192,"410",$BM$4:$BM$192)</f>
        <v>0</v>
      </c>
      <c r="BN202" s="951">
        <f>SUMIF($E$4:$E$192,"410",$BN$4:$BN$192)</f>
        <v>80844085</v>
      </c>
      <c r="BO202" s="951">
        <f>SUMIF($E$4:$E$192,"410",$BO$4:$BO$192)</f>
        <v>0</v>
      </c>
      <c r="BP202" s="951">
        <f>SUMIF($E$4:$E$194,"410",$BP$4:$BP$194)</f>
        <v>64687985</v>
      </c>
      <c r="BQ202" s="950">
        <f t="shared" si="205"/>
        <v>0.18404345010250089</v>
      </c>
      <c r="BR202" s="149">
        <f t="shared" si="206"/>
        <v>1202869843</v>
      </c>
      <c r="BS202" s="953">
        <f>SUMIF($E$4:$E$192,"410",$BS$4:$BS$192)</f>
        <v>0</v>
      </c>
      <c r="BT202" s="953">
        <f>SUMIF($E$4:$E$192,"410",$BT$4:$BT$192)</f>
        <v>7221978</v>
      </c>
      <c r="BU202" s="953">
        <f>SUMIF($E$4:$E$192,"410",$BU$4:$BU$192)</f>
        <v>31800000</v>
      </c>
      <c r="BV202" s="953">
        <f>SUMIF($E$4:$E$194,"410",$BV$4:$BV$194)</f>
        <v>0</v>
      </c>
      <c r="BW202" s="953">
        <f>SUMIF($E$4:$E$194,"410",$BW$4:$BW$194)</f>
        <v>0</v>
      </c>
      <c r="BX202" s="953">
        <f>SUMIF($E$4:$E$194,"410",$BX$4:$BX$194)</f>
        <v>56164327</v>
      </c>
      <c r="BY202" s="953">
        <f>SUMIF($E$4:$E$192,"410",$BY$4:$BY$192)</f>
        <v>0</v>
      </c>
      <c r="BZ202" s="953">
        <f>SUMIF($E$4:$E$192,"410",$BZ$4:$BZ$192)</f>
        <v>0</v>
      </c>
      <c r="CA202" s="953">
        <f>SUMIF($E$4:$E$192,"410",$CA$4:$CA$192)</f>
        <v>0</v>
      </c>
      <c r="CB202" s="953">
        <f>SUMIF($E$4:$E$192,"410",$CB$4:$CB$192)</f>
        <v>0</v>
      </c>
      <c r="CC202" s="953">
        <f>SUMIF($E$4:$E$192,"410",$CC$4:$CC$192)</f>
        <v>0</v>
      </c>
      <c r="CD202" s="953">
        <f>SUMIF($E$4:$E$192,"410",$CD$4:$CD$192)</f>
        <v>0</v>
      </c>
      <c r="CE202" s="953">
        <f>SUMIF($E$4:$E$192,"410",$CE$4:$CE$192)</f>
        <v>1092182386</v>
      </c>
      <c r="CF202" s="953">
        <f>SUMIF($E$4:$E$192,"410",$CF$4:$CF$192)</f>
        <v>0</v>
      </c>
      <c r="CG202" s="953">
        <f>SUMIF($E$4:$E$192,"410",$CG$4:$CG$192)</f>
        <v>0</v>
      </c>
      <c r="CH202" s="953">
        <f>SUMIF($E$4:$E$192,"410",$CH$4:$CH$192)</f>
        <v>60</v>
      </c>
      <c r="CI202" s="953">
        <f>SUMIF($E$4:$E$192,"510",$CI$4:$CI$192)</f>
        <v>0</v>
      </c>
      <c r="CJ202" s="953">
        <f>SUMIF($E$4:$E$192,"410",$CJ$4:$CJ$192)</f>
        <v>0</v>
      </c>
      <c r="CK202" s="953">
        <f>SUMIF($E$4:$E$192,"410",$CK$4:$CK$192)</f>
        <v>0</v>
      </c>
      <c r="CL202" s="956">
        <f>SUMIF($E$4:$E$194,"410",$CL$4:$CL$194)</f>
        <v>15501092</v>
      </c>
      <c r="CM202" s="959">
        <f t="shared" si="207"/>
        <v>0.59767888777551226</v>
      </c>
      <c r="CN202" s="149">
        <f t="shared" si="208"/>
        <v>3906305329</v>
      </c>
      <c r="CO202" s="951">
        <f>SUMIF($E$4:$E$194,"410",$CO$4:$CO$194)</f>
        <v>0</v>
      </c>
      <c r="CP202" s="951">
        <f>SUMIF($E$4:$E$192,"410",$CP$4:$CP$192)</f>
        <v>127311678</v>
      </c>
      <c r="CQ202" s="951">
        <f>SUMIF($E$4:$E$192,"410",$CQ$4:$CQ$192)</f>
        <v>364926534</v>
      </c>
      <c r="CR202" s="951">
        <f>SUMIF($E$4:$E$192,"410",$CR$4:$CR$192)</f>
        <v>561469881</v>
      </c>
      <c r="CS202" s="951">
        <f>SUMIF($E$4:$E$194,"410",$CS$4:$CS$194)</f>
        <v>0</v>
      </c>
      <c r="CT202" s="951">
        <f>SUMIF($E$4:$E$192,"410",$CT$4:$CT$192)</f>
        <v>461643323</v>
      </c>
      <c r="CU202" s="951">
        <f>SUMIF($E$4:$E$192,"410",$CU$4:$CU$192)</f>
        <v>55000000</v>
      </c>
      <c r="CV202" s="951">
        <f>SUMIF($E$4:$E$194,"410",$CV$4:$CV$194)</f>
        <v>102810569</v>
      </c>
      <c r="CW202" s="951">
        <f>SUMIF($E$4:$E$192,"410",$CW$4:$CW$192)</f>
        <v>129471348</v>
      </c>
      <c r="CX202" s="951">
        <f>SUMIF($E$4:$E$192,"410",$CX$4:$CX$192)</f>
        <v>0</v>
      </c>
      <c r="CY202" s="951">
        <f>SUMIF($E$4:$E$192,"410",$CY$4:$CY$192)</f>
        <v>0</v>
      </c>
      <c r="CZ202" s="951">
        <f>SUMIF($E$4:$E$192,"410",$CZ$4:$CZ$192)</f>
        <v>0</v>
      </c>
      <c r="DA202" s="951">
        <f>SUMIF($E$4:$E$192,"410",$DA$4:$DA$192)</f>
        <v>1537936337</v>
      </c>
      <c r="DB202" s="951">
        <f>SUMIF($E$4:$E$192,"410",$DB$4:$DB$192)</f>
        <v>74817818</v>
      </c>
      <c r="DC202" s="951">
        <f>SUMIF($E$4:$E$192,"410",$DC$4:$DC$192)</f>
        <v>226625653</v>
      </c>
      <c r="DD202" s="951">
        <f>SUMIF($E$4:$E$192,"410",$DD$4:$DD$192)</f>
        <v>189662203</v>
      </c>
      <c r="DE202" s="951">
        <f>SUMIF($E$4:$E$192,"410",$DE$4:$DE$192)</f>
        <v>0</v>
      </c>
      <c r="DF202" s="951">
        <f>SUMIF($E$4:$E$192,"410",$DF$4:$DF$192)</f>
        <v>32548551</v>
      </c>
      <c r="DG202" s="951">
        <f>SUMIF($E$4:$E$192,"410",$DG$4:$DG$192)</f>
        <v>0</v>
      </c>
      <c r="DH202" s="952">
        <f>SUMIF($E$4:$E$192,"410",$DH$4:$DH$192)</f>
        <v>42081434</v>
      </c>
      <c r="DI202" s="1011">
        <f t="shared" si="209"/>
        <v>0.40232111222448774</v>
      </c>
      <c r="DJ202" s="149">
        <f t="shared" si="210"/>
        <v>2629487400</v>
      </c>
      <c r="DK202" s="1040">
        <f>SUMIF($E$4:$E$194,"410",$DK$4:$DK$194)</f>
        <v>0</v>
      </c>
      <c r="DL202" s="953">
        <f>SUMIF($E$4:$E$192,"410",$DL$4:$DL$192)</f>
        <v>7221978</v>
      </c>
      <c r="DM202" s="953">
        <f>SUMIF($E$4:$E$194,"410",$DM$4:$DM$194)</f>
        <v>31800000</v>
      </c>
      <c r="DN202" s="953">
        <f>SUMIF($E$4:$E$194,"410",$DN$4:$DN$194)</f>
        <v>214252150</v>
      </c>
      <c r="DO202" s="953">
        <f>SUMIF($E$4:$E$194,"410",$DO$4:$DO$194)</f>
        <v>0</v>
      </c>
      <c r="DP202" s="953">
        <f>SUMIF($E$4:$E$194,"410",$DP$4:$DP$194)</f>
        <v>82537554</v>
      </c>
      <c r="DQ202" s="953">
        <f>SUMIF($E$4:$E$194,"410",$DQ$4:$DQ$194)</f>
        <v>0</v>
      </c>
      <c r="DR202" s="953">
        <f>SUMIF($E$4:$E$194,"410",$DR$4:$DR$194)</f>
        <v>0</v>
      </c>
      <c r="DS202" s="208">
        <f>SUMIF($E$4:$E$192,"410",$DS$4:$DS$192)</f>
        <v>90000000</v>
      </c>
      <c r="DT202" s="208">
        <f>SUMIF($E$4:$E$192,"410",$DT$4:$DT$192)</f>
        <v>0</v>
      </c>
      <c r="DU202" s="208">
        <f>SUMIF($E$4:$E$194,"410",$DU$4:$DU$194)</f>
        <v>0</v>
      </c>
      <c r="DV202" s="208">
        <f>SUMIF($E$4:$E$192,"410",$DV$4:$DV$192)</f>
        <v>0</v>
      </c>
      <c r="DW202" s="208">
        <f>SUMIF($E$4:$E$192,"410",$DW$4:$DW$192)</f>
        <v>1966077343</v>
      </c>
      <c r="DX202" s="208">
        <f>SUMIF($E$4:$E$194,"410",$DX$4:$DX$194)</f>
        <v>3791321</v>
      </c>
      <c r="DY202" s="208">
        <f>SUMIF($E$4:$E$194,"410",$DY$4:$DY$194)</f>
        <v>25092430</v>
      </c>
      <c r="DZ202" s="208">
        <f>SUMIF($E$4:$E$192,"410",$DZ$4:$DZ$192)</f>
        <v>122311447</v>
      </c>
      <c r="EA202" s="208">
        <f>SUMIF($E$4:$E$192,"410",$EA$4:$EA$192)</f>
        <v>0</v>
      </c>
      <c r="EB202" s="208">
        <f>SUMIF($E$4:$E$192,"410",$EB$4:$EB$192)</f>
        <v>48295534</v>
      </c>
      <c r="EC202" s="208">
        <f>SUMIF($E$4:$E$192,"410",$EC$4:$EC$192)</f>
        <v>0</v>
      </c>
      <c r="ED202" s="208">
        <f>SUMIF($E$4:$E$194,"410",$ED$4:$ED$194)</f>
        <v>38107643</v>
      </c>
    </row>
    <row r="203" spans="1:134" ht="14.25" customHeight="1" x14ac:dyDescent="0.25">
      <c r="C203" s="988"/>
      <c r="D203" s="1098" t="s">
        <v>3755</v>
      </c>
      <c r="E203" s="239">
        <v>510</v>
      </c>
      <c r="F203" s="133"/>
      <c r="G203" s="875">
        <f>SUMIF($E$4:$E$194,"510",$G$4:$G$194)</f>
        <v>1300000000</v>
      </c>
      <c r="H203" s="1060">
        <f>SUMIF($E$4:$E$194,"510",$H$4:$H$194)</f>
        <v>855648137</v>
      </c>
      <c r="I203" s="1060">
        <f>SUMIF($E$4:$E$194,"510",$I$4:$I$194)</f>
        <v>678051863</v>
      </c>
      <c r="J203" s="133"/>
      <c r="K203" s="133"/>
      <c r="L203" s="133"/>
      <c r="M203" s="133"/>
      <c r="N203" s="133"/>
      <c r="O203" s="133"/>
      <c r="P203" s="133"/>
      <c r="Q203" s="133"/>
      <c r="R203" s="133"/>
      <c r="S203" s="133"/>
      <c r="T203" s="133"/>
      <c r="U203" s="133"/>
      <c r="V203" s="133"/>
      <c r="W203" s="133"/>
      <c r="X203" s="133"/>
      <c r="Y203" s="951">
        <f>SUMIF($E$4:$E$194,"510",$Y$4:$Y$194)</f>
        <v>1533700000</v>
      </c>
      <c r="Z203" s="951">
        <f>SUMIF($E$4:$E$194,"510",$Z$4:$Z$194)</f>
        <v>0</v>
      </c>
      <c r="AA203" s="216">
        <f>SUMIF($E$4:$E$192,"510",$AA$4:$AA$192)</f>
        <v>0</v>
      </c>
      <c r="AB203" s="216">
        <f>SUMIF($E$4:$E$195,"510",$AB$4:$AB$195)</f>
        <v>0</v>
      </c>
      <c r="AC203" s="216">
        <f>SUMIF($E$4:$E$195,"510",$AC$4:$AC$195)</f>
        <v>0</v>
      </c>
      <c r="AD203" s="951">
        <f>SUMIF($E$4:$E$194,"510",$AD$4:$AD$194)</f>
        <v>0</v>
      </c>
      <c r="AE203" s="133">
        <f>SUMIF($E$4:$E$192,"510",$AE$4:$AE$192)</f>
        <v>670000000</v>
      </c>
      <c r="AF203" s="133">
        <f>SUMIF($E$4:$E$192,"510",$AF$4:$AF$192)</f>
        <v>0</v>
      </c>
      <c r="AG203" s="133">
        <f>SUMIF($E$4:$E$192,"510",$AG$4:$AG$192)</f>
        <v>0</v>
      </c>
      <c r="AH203" s="133">
        <f>SUMIF($E$4:$E$192,"510",$AH$4:$AH$192)</f>
        <v>0</v>
      </c>
      <c r="AI203" s="133">
        <f>SUMIF($E$4:$E$192,"510",$AI$4:$AI$192)</f>
        <v>0</v>
      </c>
      <c r="AJ203" s="133">
        <f>SUMIF($E$4:$E$192,"510",$AJ$4:$AJ$192)</f>
        <v>0</v>
      </c>
      <c r="AK203" s="133">
        <f>SUMIF($E$4:$E$192,"510",$AK$4:$AK$192)</f>
        <v>0</v>
      </c>
      <c r="AL203" s="133">
        <f>SUMIF($E$4:$E$192,"510",$AL$4:$AL$192)</f>
        <v>0</v>
      </c>
      <c r="AM203" s="133">
        <f>SUMIF($E$4:$E$192,"510",$AM$4:$AM$192)</f>
        <v>270000000</v>
      </c>
      <c r="AN203" s="133">
        <f>SUMIF($E$4:$E$192,"510",$AN$4:$AN$192)</f>
        <v>250000000</v>
      </c>
      <c r="AO203" s="133">
        <f>SUMIF($E$4:$E$192,"510",$AO$4:$AO$192)</f>
        <v>239500000</v>
      </c>
      <c r="AP203" s="133">
        <f>SUMIF($E$4:$E$163,"510",$AP$4:$AP$163)</f>
        <v>0</v>
      </c>
      <c r="AQ203" s="133">
        <f>SUMIF($E$4:$E$192,"510",$AQ$4:$AQ$192)</f>
        <v>0</v>
      </c>
      <c r="AR203" s="133">
        <f>SUMIF($E$4:$E$192,"510",$AR$4:$AR$192)</f>
        <v>0</v>
      </c>
      <c r="AS203" s="133">
        <f>SUMIF($E$4:$E$194,"510",$AS$4:$AS$194)</f>
        <v>104200000</v>
      </c>
      <c r="AU203" s="946">
        <f t="shared" si="203"/>
        <v>0.70487440307752491</v>
      </c>
      <c r="AV203" s="218">
        <f t="shared" si="204"/>
        <v>1081065872</v>
      </c>
      <c r="AW203" s="951">
        <f>SUMIF($E$4:$E$192,"510",$AW$4:$AW$192)</f>
        <v>0</v>
      </c>
      <c r="AX203" s="951">
        <f>SUMIF($E$4:$E$194,"510",$AX$4:$AX$194)</f>
        <v>0</v>
      </c>
      <c r="AY203" s="951">
        <f>SUMIF($E$4:$E$194,"510",$AY$4:$AY$194)</f>
        <v>0</v>
      </c>
      <c r="AZ203" s="951">
        <f>SUMIF($E$4:$E$194,"510",$AZ$4:$AZ$194)</f>
        <v>0</v>
      </c>
      <c r="BA203" s="951">
        <f>SUMIF($E$4:$E$192,"510",$BA$4:$BA$192)</f>
        <v>0</v>
      </c>
      <c r="BB203" s="951">
        <f>SUMIF($E$4:$E$192,"510",$BB$4:$BB$192)</f>
        <v>482682873</v>
      </c>
      <c r="BC203" s="951">
        <f>SUMIF($E$4:$E$194,"510",$BC$4:$BC$194)</f>
        <v>0</v>
      </c>
      <c r="BD203" s="951">
        <f>SUMIF($E$4:$E$194,"510",$BD$4:$BD$194)</f>
        <v>0</v>
      </c>
      <c r="BE203" s="951">
        <f>SUMIF($E$4:$E$192,"510",$BE$4:$BE$192)</f>
        <v>0</v>
      </c>
      <c r="BF203" s="951">
        <f>SUMIF($E$4:$E$192,"510",$BF$4:$BF$192)</f>
        <v>0</v>
      </c>
      <c r="BG203" s="951">
        <f>SUMIF($E$4:$E$163,"510",$BG$4:$BG$163)</f>
        <v>0</v>
      </c>
      <c r="BH203" s="951">
        <f>SUMIF($E$4:$E$192,"510",$BH$4:$BH$192)</f>
        <v>0</v>
      </c>
      <c r="BI203" s="951">
        <f>SUMIF($E$4:$E$192,"510",$BI$4:$BI$192)</f>
        <v>0</v>
      </c>
      <c r="BJ203" s="951">
        <f>SUMIF($E$4:$E$192,"510",$BJ$4:$BJ$192)</f>
        <v>152146280</v>
      </c>
      <c r="BK203" s="951">
        <f>SUMIF($E$4:$E$194,"510",$BK$4:$BK$194)</f>
        <v>137412943</v>
      </c>
      <c r="BL203" s="951">
        <f>SUMIF($E$4:$E$192,"510",$BL$4:$BL$192)</f>
        <v>230527669</v>
      </c>
      <c r="BM203" s="951">
        <f>SUMIF($E$4:$E$192,"510",$BM$4:$BM$192)</f>
        <v>0</v>
      </c>
      <c r="BN203" s="951">
        <f>SUMIF($E$4:$E$192,"510",$BN$4:$BN$192)</f>
        <v>0</v>
      </c>
      <c r="BO203" s="951">
        <f>SUMIF($E$4:$E$192," 510",$BO$4:$BO$192)</f>
        <v>0</v>
      </c>
      <c r="BP203" s="951">
        <f>SUMIF($E$4:$E$194,"510",$BP$4:$BP$194)</f>
        <v>78296107</v>
      </c>
      <c r="BQ203" s="950">
        <f t="shared" si="205"/>
        <v>0.29512559692247509</v>
      </c>
      <c r="BR203" s="149">
        <f t="shared" si="206"/>
        <v>452634128</v>
      </c>
      <c r="BS203" s="953">
        <f>SUMIF($E$4:$E$192,"510",$BS$4:$BS$192)</f>
        <v>0</v>
      </c>
      <c r="BT203" s="953">
        <f>SUMIF($E$4:$E$192,"510",$BT$4:$BT$192)</f>
        <v>0</v>
      </c>
      <c r="BU203" s="953">
        <f>SUMIF($E$4:$E$192,"510",$BU$4:$BU$192)</f>
        <v>0</v>
      </c>
      <c r="BV203" s="953">
        <f>SUMIF($E$4:$E$194,"510",$BV$4:$BV$194)</f>
        <v>0</v>
      </c>
      <c r="BW203" s="953">
        <f>SUMIF($E$4:$E$194,"510",$BW$4:$BW$194)</f>
        <v>0</v>
      </c>
      <c r="BX203" s="953">
        <f>SUMIF($E$4:$E$194,"510",$BX$4:$BX$194)</f>
        <v>187317127</v>
      </c>
      <c r="BY203" s="953">
        <f>SUMIF($E$4:$E$192,"510",$BY$4:$BY$192)</f>
        <v>0</v>
      </c>
      <c r="BZ203" s="953">
        <f>SUMIF($E$4:$E$192,"510",$BZ$4:$BZ$192)</f>
        <v>0</v>
      </c>
      <c r="CA203" s="953">
        <f>SUMIF($E$4:$E$192,"510",$CA$4:$CA$192)</f>
        <v>0</v>
      </c>
      <c r="CB203" s="953">
        <f>SUMIF($E$4:$E$192,"510",$CB$4:$CB$192)</f>
        <v>0</v>
      </c>
      <c r="CC203" s="953">
        <f>SUMIF($E$4:$E$192,"510",$CC$4:$CC$192)</f>
        <v>0</v>
      </c>
      <c r="CD203" s="953">
        <f>SUMIF($E$4:$E$192,"510",$CD$4:$CD$192)</f>
        <v>0</v>
      </c>
      <c r="CE203" s="953">
        <f>SUMIF($E$4:$E$192,"510",$CE$4:$CE$192)</f>
        <v>0</v>
      </c>
      <c r="CF203" s="953">
        <f>SUMIF($E$4:$E$192,"510",$CF$4:$CF$192)</f>
        <v>117853720</v>
      </c>
      <c r="CG203" s="953">
        <f>SUMIF($E$4:$E$192,"510",$CG$4:$CG$192)</f>
        <v>112587057</v>
      </c>
      <c r="CH203" s="953">
        <f>SUMIF($E$4:$E$192,"510",$CH$4:$CH$192)</f>
        <v>8972331</v>
      </c>
      <c r="CI203" s="953">
        <f>SUMIF($E$4:$E$192,"520",$CI$4:$CI$192)</f>
        <v>0</v>
      </c>
      <c r="CJ203" s="953">
        <f>SUMIF($E$4:$E$192,"510",$CJ$4:$CJ$192)</f>
        <v>0</v>
      </c>
      <c r="CK203" s="953">
        <f>SUMIF($E$4:$E$192,"510",$CK$4:$CK$192)</f>
        <v>0</v>
      </c>
      <c r="CL203" s="956">
        <f>SUMIF($E$4:$E$194,"510",$CL$4:$CL$194)</f>
        <v>25903893</v>
      </c>
      <c r="CM203" s="959">
        <f t="shared" si="207"/>
        <v>0.55789798330833928</v>
      </c>
      <c r="CN203" s="149">
        <f t="shared" si="208"/>
        <v>855648137</v>
      </c>
      <c r="CO203" s="951">
        <f>SUMIF($E$4:$E$194,"510",$CO$4:$CO$194)</f>
        <v>0</v>
      </c>
      <c r="CP203" s="951">
        <f>SUMIF($E$4:$E$192,"510",$CP$4:$CP$192)</f>
        <v>0</v>
      </c>
      <c r="CQ203" s="951">
        <f>SUMIF($E$4:$E$192,"510",$CQ$4:$CQ$192)</f>
        <v>0</v>
      </c>
      <c r="CR203" s="951">
        <f>SUMIF($E$4:$E$192,"510",$CR$4:$CR$192)</f>
        <v>0</v>
      </c>
      <c r="CS203" s="951">
        <f>SUMIF($E$4:$E$194,"510",$CS$4:$CS$194)</f>
        <v>0</v>
      </c>
      <c r="CT203" s="951">
        <f>SUMIF($E$4:$E$192,"510",$CT$4:$CT$192)</f>
        <v>430571673</v>
      </c>
      <c r="CU203" s="951">
        <f>SUMIF($E$4:$E$192,"510",$CU$4:$CU$192)</f>
        <v>0</v>
      </c>
      <c r="CV203" s="951">
        <f>SUMIF($E$4:$E$194,"510",$CV$4:$CV$194)</f>
        <v>0</v>
      </c>
      <c r="CW203" s="951">
        <f>SUMIF($E$4:$E$192,"510",$CW$4:$CW$192)</f>
        <v>0</v>
      </c>
      <c r="CX203" s="951">
        <f>SUMIF($E$4:$E$192,"510",$CX$4:$CX$192)</f>
        <v>0</v>
      </c>
      <c r="CY203" s="951">
        <f>SUMIF($E$4:$E$192,"510",$CY$4:$CY$192)</f>
        <v>0</v>
      </c>
      <c r="CZ203" s="951">
        <f>SUMIF($E$4:$E$192,"510",$CZ$4:$CZ$192)</f>
        <v>0</v>
      </c>
      <c r="DA203" s="951">
        <f>SUMIF($E$4:$E$192,"510",$DA$4:$DA$192)</f>
        <v>0</v>
      </c>
      <c r="DB203" s="951">
        <f>SUMIF($E$4:$E$192,"510",$DB$4:$DB$192)</f>
        <v>88455538</v>
      </c>
      <c r="DC203" s="951">
        <f>SUMIF($E$4:$E$192,"510",$DC$4:$DC$192)</f>
        <v>90822814</v>
      </c>
      <c r="DD203" s="951">
        <f>SUMIF($E$4:$E$192,"510",$DD$4:$DD$192)</f>
        <v>188408444</v>
      </c>
      <c r="DE203" s="951">
        <f>SUMIF($E$4:$E$192,"510",$DE$4:$DE$192)</f>
        <v>0</v>
      </c>
      <c r="DF203" s="951">
        <f>SUMIF($E$4:$E$192,"510",$DF$4:$DF$192)</f>
        <v>0</v>
      </c>
      <c r="DG203" s="951">
        <f>SUMIF($E$4:$E$192,"510",$DG$4:$DG$192)</f>
        <v>0</v>
      </c>
      <c r="DH203" s="952">
        <f>SUMIF($E$4:$E$192,"510",$DH$4:$DH$192)</f>
        <v>57389668</v>
      </c>
      <c r="DI203" s="1011">
        <f t="shared" si="209"/>
        <v>0.44210201669166072</v>
      </c>
      <c r="DJ203" s="149">
        <f t="shared" si="210"/>
        <v>678051863</v>
      </c>
      <c r="DK203" s="1040">
        <f>SUMIF($E$4:$E$194,"510",$DK$4:$DK$194)</f>
        <v>0</v>
      </c>
      <c r="DL203" s="953">
        <f>SUMIF($E$4:$E$192,"510",$DL$4:$DL$192)</f>
        <v>0</v>
      </c>
      <c r="DM203" s="953">
        <f>SUMIF($E$4:$E$194,"510",$DM$4:$DM$194)</f>
        <v>0</v>
      </c>
      <c r="DN203" s="953">
        <f>SUMIF($E$4:$E$194,"510",$DN$4:$DN$194)</f>
        <v>0</v>
      </c>
      <c r="DO203" s="953">
        <f>SUMIF($E$4:$E$194,"510",$DO$4:$DO$194)</f>
        <v>0</v>
      </c>
      <c r="DP203" s="953">
        <f>SUMIF($E$4:$E$194,"510",$DP$4:$DP$194)</f>
        <v>239428327</v>
      </c>
      <c r="DQ203" s="953">
        <f>SUMIF($E$4:$E$194,"510",$DQ$4:$DQ$194)</f>
        <v>0</v>
      </c>
      <c r="DR203" s="953">
        <f>SUMIF($E$4:$E$194,"510",$DR$4:$DR$194)</f>
        <v>0</v>
      </c>
      <c r="DS203" s="208">
        <f>SUMIF($E$4:$E$192,"510",$DS$4:$DS$192)</f>
        <v>0</v>
      </c>
      <c r="DT203" s="208">
        <f>SUMIF($E$4:$E$192,"510",$DT$4:$DT$192)</f>
        <v>0</v>
      </c>
      <c r="DU203" s="208">
        <f>SUMIF($E$4:$E$194,"510",$DU$4:$DU$194)</f>
        <v>0</v>
      </c>
      <c r="DV203" s="208">
        <f>SUMIF($E$4:$E$192,"510",$DV$4:$DV$192)</f>
        <v>0</v>
      </c>
      <c r="DW203" s="208">
        <f>SUMIF($E$4:$E$192,"510",$DW$4:$DW$192)</f>
        <v>0</v>
      </c>
      <c r="DX203" s="208">
        <f>SUMIF($E$4:$E$194,"510",$DX$4:$DX$194)</f>
        <v>181544462</v>
      </c>
      <c r="DY203" s="208">
        <f>SUMIF($E$4:$E$194,"510",$DY$4:$DY$194)</f>
        <v>159177186</v>
      </c>
      <c r="DZ203" s="208">
        <f>SUMIF($E$4:$E$192,"510",$DZ$4:$DZ$192)</f>
        <v>51091556</v>
      </c>
      <c r="EA203" s="208">
        <f>SUMIF($E$4:$E$192,"510",$EA$4:$EA$192)</f>
        <v>0</v>
      </c>
      <c r="EB203" s="208">
        <f>SUMIF($E$4:$E$192,"510",$EB$4:$EB$192)</f>
        <v>0</v>
      </c>
      <c r="EC203" s="208">
        <f>SUMIF($E$4:$E$192,"510",$EC$4:$EC$192)</f>
        <v>0</v>
      </c>
      <c r="ED203" s="208">
        <f>SUMIF($E$4:$E$194,"510",$ED$4:$ED$194)</f>
        <v>46810332</v>
      </c>
    </row>
    <row r="204" spans="1:134" x14ac:dyDescent="0.25">
      <c r="C204" s="988"/>
      <c r="D204" s="1098" t="s">
        <v>1517</v>
      </c>
      <c r="E204" s="239">
        <v>520</v>
      </c>
      <c r="F204" s="133"/>
      <c r="G204" s="875">
        <f>SUMIF($E$4:$E$194,"520",$G$4:$G$194)</f>
        <v>2832000000</v>
      </c>
      <c r="H204" s="1060">
        <f>SUMIF($E$4:$E$194,"520",$H$4:$H$194)</f>
        <v>1966515918</v>
      </c>
      <c r="I204" s="1060">
        <f>SUMIF($E$4:$E$194,"520",$I$4:$I$194)</f>
        <v>1022725353</v>
      </c>
      <c r="J204" s="133"/>
      <c r="K204" s="133"/>
      <c r="L204" s="133"/>
      <c r="M204" s="133"/>
      <c r="N204" s="133"/>
      <c r="O204" s="133"/>
      <c r="P204" s="133"/>
      <c r="Q204" s="133"/>
      <c r="R204" s="133"/>
      <c r="S204" s="133"/>
      <c r="T204" s="133"/>
      <c r="U204" s="133"/>
      <c r="V204" s="133"/>
      <c r="W204" s="133"/>
      <c r="X204" s="133"/>
      <c r="Y204" s="951">
        <f>SUMIF($E$4:$E$194,"520",$Y$4:$Y$194)</f>
        <v>2989241271</v>
      </c>
      <c r="Z204" s="951">
        <f>SUMIF($E$4:$E$194,"520",$Z$4:$Z$194)</f>
        <v>0</v>
      </c>
      <c r="AA204" s="216">
        <f>SUMIF($E$4:$E$192,"520",$AA$4:$AA$192)</f>
        <v>0</v>
      </c>
      <c r="AB204" s="216">
        <f>SUMIF($E$4:$E$195,"520",$AB$4:$AB$195)</f>
        <v>0</v>
      </c>
      <c r="AC204" s="216">
        <f>SUMIF($E$4:$E$194,"520",$AC$4:$AC$194)</f>
        <v>50000000</v>
      </c>
      <c r="AD204" s="951">
        <f>SUMIF($E$4:$E$194,"520",$AD$4:$AD$194)</f>
        <v>72884540</v>
      </c>
      <c r="AE204" s="133">
        <f>SUMIF($E$4:$E$192,"520",$AE$4:$AE$192)</f>
        <v>660000000</v>
      </c>
      <c r="AF204" s="133">
        <f>SUMIF($E$4:$E$192,"520",$AF$4:$AF$192)</f>
        <v>923014856</v>
      </c>
      <c r="AG204" s="133">
        <f>SUMIF($E$4:$E$192,"520",$AG$4:$AG$192)</f>
        <v>0</v>
      </c>
      <c r="AH204" s="133">
        <f>SUMIF($E$4:$E$192,"520",$AH$4:$AH$192)</f>
        <v>0</v>
      </c>
      <c r="AI204" s="133">
        <f>SUMIF($E$4:$E$192,"520",$AI$4:$AI$192)</f>
        <v>0</v>
      </c>
      <c r="AJ204" s="133">
        <f>SUMIF($E$4:$E$192,"520",$AJ$4:$AJ$192)</f>
        <v>0</v>
      </c>
      <c r="AK204" s="133">
        <f>SUMIF($E$4:$E$192,"520",$AK$4:$AK$192)</f>
        <v>0</v>
      </c>
      <c r="AL204" s="133">
        <f>SUMIF($E$4:$E$192,"520",$AL$4:$AL$192)</f>
        <v>610864435</v>
      </c>
      <c r="AM204" s="133">
        <f>SUMIF($E$4:$E$192,"520",$AM$4:$AM$192)</f>
        <v>0</v>
      </c>
      <c r="AN204" s="133">
        <f>SUMIF($E$4:$E$192,"520",$AN$4:$AN$192)</f>
        <v>75000000</v>
      </c>
      <c r="AO204" s="133">
        <f>SUMIF($E$4:$E$192,"520",$AO$4:$AO$192)</f>
        <v>0</v>
      </c>
      <c r="AP204" s="133">
        <f>SUMIF($E$4:$E$163,"520",$AP$4:$AP$163)</f>
        <v>0</v>
      </c>
      <c r="AQ204" s="133">
        <f>SUMIF($E$4:$E$192,"520",$AQ$4:$AQ$192)</f>
        <v>0</v>
      </c>
      <c r="AR204" s="133">
        <f>SUMIF($E$4:$E$192,"520",$AR$4:$AR$192)</f>
        <v>0</v>
      </c>
      <c r="AS204" s="133">
        <f>SUMIF($E$4:$E$194,"520",$AS$4:$AS$194)</f>
        <v>597477440</v>
      </c>
      <c r="AU204" s="946">
        <f t="shared" si="203"/>
        <v>0.82265790415015316</v>
      </c>
      <c r="AV204" s="218">
        <f t="shared" si="204"/>
        <v>2459122959</v>
      </c>
      <c r="AW204" s="951">
        <f>SUMIF($E$4:$E$192,"520",$AW$4:$AW$192)</f>
        <v>0</v>
      </c>
      <c r="AX204" s="951">
        <f>SUMIF($E$4:$E$194,"520",$AX$4:$AX$194)</f>
        <v>0</v>
      </c>
      <c r="AY204" s="951">
        <f>SUMIF($E$4:$E$194,"520",$AY$4:$AY$194)</f>
        <v>0</v>
      </c>
      <c r="AZ204" s="951">
        <f>SUMIF($E$4:$E$194,"520",$AZ$4:$AZ$194)</f>
        <v>40000000</v>
      </c>
      <c r="BA204" s="951">
        <f>SUMIF($E$4:$E$192,"520",$BA$4:$BA$192)</f>
        <v>72884540</v>
      </c>
      <c r="BB204" s="951">
        <f>SUMIF($E$4:$E$192,"520",$BB$4:$BB$192)</f>
        <v>636973277</v>
      </c>
      <c r="BC204" s="951">
        <f>SUMIF($E$4:$E$194,"520",$BC$4:$BC$194)</f>
        <v>845000000</v>
      </c>
      <c r="BD204" s="951">
        <f>SUMIF($E$4:$E$194,"520",$BD$4:$BD$194)</f>
        <v>0</v>
      </c>
      <c r="BE204" s="951">
        <f>SUMIF($E$4:$E$192,"520",$BE$4:$BE$192)</f>
        <v>0</v>
      </c>
      <c r="BF204" s="951">
        <f>SUMIF($E$4:$E$192,"520",$BF$4:$BF$192)</f>
        <v>0</v>
      </c>
      <c r="BG204" s="951">
        <f>SUMIF($E$4:$E$163,"520",$BG$4:$BG$163)</f>
        <v>0</v>
      </c>
      <c r="BH204" s="951">
        <f>SUMIF($E$4:$E$192,"520",$BH$4:$BH$192)</f>
        <v>0</v>
      </c>
      <c r="BI204" s="951">
        <f>SUMIF($E$4:$E$192,"520",$BI$4:$BI$192)</f>
        <v>244660776</v>
      </c>
      <c r="BJ204" s="951">
        <f>SUMIF($E$4:$E$192,"520",$BJ$4:$BJ$192)</f>
        <v>0</v>
      </c>
      <c r="BK204" s="951">
        <f>SUMIF($E$4:$E$194,"520",$BK$4:$BK$194)</f>
        <v>66597464</v>
      </c>
      <c r="BL204" s="951">
        <f>SUMIF($E$4:$E$192,"520",$BL$4:$BL$192)</f>
        <v>0</v>
      </c>
      <c r="BM204" s="951">
        <f>SUMIF($E$4:$E$192,"520",$BM$4:$BM$192)</f>
        <v>0</v>
      </c>
      <c r="BN204" s="951">
        <f>SUMIF($E$4:$E$192,"520",$BN$4:$BN$192)</f>
        <v>0</v>
      </c>
      <c r="BO204" s="951">
        <f>SUMIF($E$4:$E$192,"520",$BO$4:$BO$192)</f>
        <v>0</v>
      </c>
      <c r="BP204" s="951">
        <f>SUMIF($E$4:$E$194,"520",$BP$4:$BP$194)</f>
        <v>553006902</v>
      </c>
      <c r="BQ204" s="950">
        <f t="shared" si="205"/>
        <v>0.17734209584984684</v>
      </c>
      <c r="BR204" s="149">
        <f t="shared" si="206"/>
        <v>530118312</v>
      </c>
      <c r="BS204" s="953">
        <f>SUMIF($E$4:$E$192,"520",$BS$4:$BS$192)</f>
        <v>0</v>
      </c>
      <c r="BT204" s="953">
        <f>SUMIF($E$4:$E$192,"520",$BT$4:$BT$192)</f>
        <v>0</v>
      </c>
      <c r="BU204" s="953">
        <f>SUMIF($E$4:$E$192,"520",$BU$4:$BU$192)</f>
        <v>0</v>
      </c>
      <c r="BV204" s="953">
        <f>SUMIF($E$4:$E$194,"520",$BV$4:$BV$194)</f>
        <v>10000000</v>
      </c>
      <c r="BW204" s="953">
        <f>SUMIF($E$4:$E$194,"520",$BW$4:$BW$194)</f>
        <v>0</v>
      </c>
      <c r="BX204" s="953">
        <f>SUMIF($E$4:$E$194,"520",$BX$4:$BX$194)</f>
        <v>23026723</v>
      </c>
      <c r="BY204" s="953">
        <f>SUMIF($E$4:$E$192,"520",$BY$4:$BY$192)</f>
        <v>78014856</v>
      </c>
      <c r="BZ204" s="953">
        <f>SUMIF($E$4:$E$192,"520",$BZ$4:$BZ$192)</f>
        <v>0</v>
      </c>
      <c r="CA204" s="953">
        <f>SUMIF($E$4:$E$192,"520",$CA$4:$CA$192)</f>
        <v>0</v>
      </c>
      <c r="CB204" s="953">
        <f>SUMIF($E$4:$E$192,"520",$CB$4:$CB$192)</f>
        <v>0</v>
      </c>
      <c r="CC204" s="953">
        <f>SUMIF($E$4:$E$192,"520",$CC$4:$CC$192)</f>
        <v>0</v>
      </c>
      <c r="CD204" s="953">
        <f>SUMIF($E$4:$E$192,"520",$CD$4:$CD$192)</f>
        <v>0</v>
      </c>
      <c r="CE204" s="953">
        <f>SUMIF($E$4:$E$192,"520",$CE$4:$CE$192)</f>
        <v>366203659</v>
      </c>
      <c r="CF204" s="953">
        <f>SUMIF($E$4:$E$192,"520",$CF$4:$CF$192)</f>
        <v>0</v>
      </c>
      <c r="CG204" s="953">
        <f>SUMIF($E$4:$E$192,"520",$CG$4:$CG$192)</f>
        <v>8402536</v>
      </c>
      <c r="CH204" s="953">
        <f>SUMIF($E$4:$E$192,"520",$CH$4:$CH$192)</f>
        <v>0</v>
      </c>
      <c r="CI204" s="953">
        <f>SUMIF($E$4:$E$192,"111",$CI$4:$CI$192)</f>
        <v>0</v>
      </c>
      <c r="CJ204" s="953">
        <f>SUMIF($E$4:$E$192,"520",$CJ$4:$CJ$192)</f>
        <v>0</v>
      </c>
      <c r="CK204" s="953">
        <f>SUMIF($E$4:$E$192,"520",$CK$4:$CK$192)</f>
        <v>0</v>
      </c>
      <c r="CL204" s="956">
        <f>SUMIF($E$4:$E$194,"520",$CL$4:$CL$194)</f>
        <v>44470538</v>
      </c>
      <c r="CM204" s="959">
        <f t="shared" si="207"/>
        <v>0.65786456820266481</v>
      </c>
      <c r="CN204" s="149">
        <f t="shared" si="208"/>
        <v>1966515918</v>
      </c>
      <c r="CO204" s="951">
        <f>SUMIF($E$4:$E$194,"520",$CO$4:$CO$194)</f>
        <v>0</v>
      </c>
      <c r="CP204" s="951">
        <f>SUMIF($E$4:$E$192,"520",$CP$4:$CP$192)</f>
        <v>0</v>
      </c>
      <c r="CQ204" s="951">
        <f>SUMIF($E$4:$E$192,"520",$CQ$4:$CQ$192)</f>
        <v>0</v>
      </c>
      <c r="CR204" s="951">
        <f>SUMIF($E$4:$E$192,"520",$CR$4:$CR$192)</f>
        <v>40000000</v>
      </c>
      <c r="CS204" s="951">
        <f>SUMIF($E$4:$E$194,"520",$CS$4:$CS$194)</f>
        <v>0</v>
      </c>
      <c r="CT204" s="951">
        <f>SUMIF($E$4:$E$192,"520",$CT$4:$CT$192)</f>
        <v>501581004</v>
      </c>
      <c r="CU204" s="951">
        <f>SUMIF($E$4:$E$192,"520",$CU$4:$CU$192)</f>
        <v>707349678</v>
      </c>
      <c r="CV204" s="951">
        <f>SUMIF($E$4:$E$194,"520",$CV$4:$CV$194)</f>
        <v>0</v>
      </c>
      <c r="CW204" s="951">
        <f>SUMIF($E$4:$E$192,"520",$CW$4:$CW$192)</f>
        <v>0</v>
      </c>
      <c r="CX204" s="951">
        <f>SUMIF($E$4:$E$192,"520",$CX$4:$CX$192)</f>
        <v>0</v>
      </c>
      <c r="CY204" s="951">
        <f>SUMIF($E$4:$E$192,"520",$CY$4:$CY$192)</f>
        <v>0</v>
      </c>
      <c r="CZ204" s="951">
        <f>SUMIF($E$4:$E$192,"520",$CZ$4:$CZ$192)</f>
        <v>0</v>
      </c>
      <c r="DA204" s="951">
        <f>SUMIF($E$4:$E$192,"520",$DA$4:$DA$192)</f>
        <v>151633574</v>
      </c>
      <c r="DB204" s="951">
        <f>SUMIF($E$4:$E$192,"520",$DB$4:$DB$192)</f>
        <v>0</v>
      </c>
      <c r="DC204" s="951">
        <f>SUMIF($E$4:$E$192,"520",$DC$4:$DC$192)</f>
        <v>54136664</v>
      </c>
      <c r="DD204" s="951">
        <f>SUMIF($E$4:$E$192,"520",$DD$4:$DD$192)</f>
        <v>0</v>
      </c>
      <c r="DE204" s="951">
        <f>SUMIF($E$4:$E$192,"520",$DE$4:$DE$192)</f>
        <v>0</v>
      </c>
      <c r="DF204" s="951">
        <f>SUMIF($E$4:$E$192,"520",$DF$4:$DF$192)</f>
        <v>0</v>
      </c>
      <c r="DG204" s="951">
        <f>SUMIF($E$4:$E$192,"520",$DG$4:$DG$192)</f>
        <v>0</v>
      </c>
      <c r="DH204" s="952">
        <f>SUMIF($E$4:$E$192,"520",$DH$4:$DH$192)</f>
        <v>511814998</v>
      </c>
      <c r="DI204" s="1011">
        <f t="shared" si="209"/>
        <v>0.34213543179733519</v>
      </c>
      <c r="DJ204" s="149">
        <f t="shared" si="210"/>
        <v>1022725353</v>
      </c>
      <c r="DK204" s="1040">
        <f>SUMIF($E$4:$E$194,"520",$DK$4:$DK$194)</f>
        <v>0</v>
      </c>
      <c r="DL204" s="953">
        <f>SUMIF($E$4:$E$192,"520",$DL$4:$DL$192)</f>
        <v>0</v>
      </c>
      <c r="DM204" s="953">
        <f>SUMIF($E$4:$E$194,"520",$DM$4:$DM$194)</f>
        <v>0</v>
      </c>
      <c r="DN204" s="953">
        <f>SUMIF($E$4:$E$194,"520",$DN$4:$DN$194)</f>
        <v>10000000</v>
      </c>
      <c r="DO204" s="953">
        <f>SUMIF($E$4:$E$194,"520",$DO$4:$DO$194)</f>
        <v>72884540</v>
      </c>
      <c r="DP204" s="953">
        <f>SUMIF($E$4:$E$194,"520",$DP$4:$DP$194)</f>
        <v>158418996</v>
      </c>
      <c r="DQ204" s="953">
        <f>SUMIF($E$4:$E$194,"520",$DQ$4:$DQ$194)</f>
        <v>215665178</v>
      </c>
      <c r="DR204" s="953">
        <f>SUMIF($E$4:$E$194,"520",$DR$4:$DR$194)</f>
        <v>0</v>
      </c>
      <c r="DS204" s="208">
        <f>SUMIF($E$4:$E$192,"520",$DS$4:$DS$192)</f>
        <v>0</v>
      </c>
      <c r="DT204" s="208">
        <f>SUMIF($E$4:$E$192,"520",$DT$4:$DT$192)</f>
        <v>0</v>
      </c>
      <c r="DU204" s="208">
        <f>SUMIF($E$4:$E$194,"520",$DU$4:$DU$194)</f>
        <v>0</v>
      </c>
      <c r="DV204" s="208">
        <f>SUMIF($E$4:$E$192,"520",$DV$4:$DV$192)</f>
        <v>0</v>
      </c>
      <c r="DW204" s="208">
        <f>SUMIF($E$4:$E$192,"520",$DW$4:$DW$192)</f>
        <v>459230861</v>
      </c>
      <c r="DX204" s="208">
        <f>SUMIF($E$4:$E$194,"520",$DX$4:$DX$194)</f>
        <v>0</v>
      </c>
      <c r="DY204" s="208">
        <f>SUMIF($E$4:$E$192,"520",$DY$4:$DY$192)</f>
        <v>20863336</v>
      </c>
      <c r="DZ204" s="208">
        <f>SUMIF($E$4:$E$192,"520",$DZ$4:$DZ$192)</f>
        <v>0</v>
      </c>
      <c r="EA204" s="208">
        <f>SUMIF($E$4:$E$192,"520",$EA$4:$EA$192)</f>
        <v>0</v>
      </c>
      <c r="EB204" s="208">
        <f>SUMIF($E$4:$E$192,"520",$EB$4:$EB$192)</f>
        <v>0</v>
      </c>
      <c r="EC204" s="208">
        <f>SUMIF($E$4:$E$192,"520",$EC$4:$EC$192)</f>
        <v>0</v>
      </c>
      <c r="ED204" s="208">
        <f>SUMIF($E$4:$E$194,"520",$ED$4:$ED$194)</f>
        <v>85662442</v>
      </c>
    </row>
    <row r="205" spans="1:134" x14ac:dyDescent="0.25">
      <c r="C205" s="988"/>
      <c r="D205" s="1098" t="s">
        <v>4587</v>
      </c>
      <c r="E205" s="1099"/>
      <c r="F205" s="3"/>
      <c r="G205" s="875">
        <f>SUM(G199:G204)</f>
        <v>30001000000</v>
      </c>
      <c r="H205" s="1060">
        <f>SUM(H199:H204)</f>
        <v>12211963146</v>
      </c>
      <c r="I205" s="1060">
        <f>SUM(I199:I204)</f>
        <v>10321893357</v>
      </c>
      <c r="J205" s="3"/>
      <c r="K205" s="3"/>
      <c r="L205" s="3"/>
      <c r="M205" s="3"/>
      <c r="N205" s="3"/>
      <c r="O205" s="3"/>
      <c r="P205" s="3"/>
      <c r="Q205" s="3"/>
      <c r="R205" s="3"/>
      <c r="S205" s="3"/>
      <c r="T205" s="3"/>
      <c r="U205" s="3"/>
      <c r="V205" s="3"/>
      <c r="W205" s="3"/>
      <c r="X205" s="3"/>
      <c r="Y205" s="954">
        <f t="shared" ref="Y205:AT205" si="211">SUM(Y199:Y204)</f>
        <v>22533856503</v>
      </c>
      <c r="Z205" s="954">
        <f t="shared" si="211"/>
        <v>0</v>
      </c>
      <c r="AA205" s="955">
        <f t="shared" si="211"/>
        <v>134533656</v>
      </c>
      <c r="AB205" s="955">
        <f t="shared" si="211"/>
        <v>396726534</v>
      </c>
      <c r="AC205" s="955">
        <f t="shared" si="211"/>
        <v>9862143612</v>
      </c>
      <c r="AD205" s="955">
        <f t="shared" si="211"/>
        <v>92895874</v>
      </c>
      <c r="AE205" s="955">
        <f t="shared" si="211"/>
        <v>2509180877</v>
      </c>
      <c r="AF205" s="955">
        <f t="shared" si="211"/>
        <v>1300000000</v>
      </c>
      <c r="AG205" s="955">
        <f t="shared" si="211"/>
        <v>102810569</v>
      </c>
      <c r="AH205" s="955">
        <f t="shared" si="211"/>
        <v>219471348</v>
      </c>
      <c r="AI205" s="955">
        <f t="shared" si="211"/>
        <v>1940856</v>
      </c>
      <c r="AJ205" s="955">
        <f t="shared" si="211"/>
        <v>3438802</v>
      </c>
      <c r="AK205" s="955">
        <f t="shared" si="211"/>
        <v>318664514</v>
      </c>
      <c r="AL205" s="955">
        <f t="shared" si="211"/>
        <v>4114878115</v>
      </c>
      <c r="AM205" s="955">
        <f t="shared" si="211"/>
        <v>348609139</v>
      </c>
      <c r="AN205" s="955">
        <f t="shared" si="211"/>
        <v>727437634</v>
      </c>
      <c r="AO205" s="955">
        <f t="shared" si="211"/>
        <v>879054052</v>
      </c>
      <c r="AP205" s="955">
        <f t="shared" si="211"/>
        <v>0</v>
      </c>
      <c r="AQ205" s="955">
        <f t="shared" si="211"/>
        <v>80844085</v>
      </c>
      <c r="AR205" s="955">
        <f t="shared" si="211"/>
        <v>92524043</v>
      </c>
      <c r="AS205" s="955">
        <f t="shared" si="211"/>
        <v>1348702793</v>
      </c>
      <c r="AT205" s="955">
        <f t="shared" si="211"/>
        <v>0</v>
      </c>
      <c r="AU205" s="946">
        <f t="shared" si="203"/>
        <v>0.7766560263073492</v>
      </c>
      <c r="AV205" s="954">
        <f t="shared" ref="AV205:BP205" si="212">SUM(AV199:AV204)</f>
        <v>17501055449</v>
      </c>
      <c r="AW205" s="146">
        <f t="shared" si="212"/>
        <v>0</v>
      </c>
      <c r="AX205" s="146">
        <f t="shared" si="212"/>
        <v>127311678</v>
      </c>
      <c r="AY205" s="146">
        <f t="shared" si="212"/>
        <v>364926534</v>
      </c>
      <c r="AZ205" s="146">
        <f t="shared" si="212"/>
        <v>7617755369</v>
      </c>
      <c r="BA205" s="146">
        <f t="shared" si="212"/>
        <v>90387830</v>
      </c>
      <c r="BB205" s="146">
        <f t="shared" si="212"/>
        <v>2155554199</v>
      </c>
      <c r="BC205" s="146">
        <f t="shared" si="212"/>
        <v>1164170675</v>
      </c>
      <c r="BD205" s="146">
        <f t="shared" si="212"/>
        <v>102810569</v>
      </c>
      <c r="BE205" s="146">
        <f t="shared" si="212"/>
        <v>219471348</v>
      </c>
      <c r="BF205" s="146">
        <f t="shared" si="212"/>
        <v>0</v>
      </c>
      <c r="BG205" s="146">
        <f t="shared" si="212"/>
        <v>0</v>
      </c>
      <c r="BH205" s="146">
        <f t="shared" si="212"/>
        <v>166126063</v>
      </c>
      <c r="BI205" s="146">
        <f t="shared" si="212"/>
        <v>2656492070</v>
      </c>
      <c r="BJ205" s="146">
        <f t="shared" si="212"/>
        <v>230755419</v>
      </c>
      <c r="BK205" s="146">
        <f t="shared" si="212"/>
        <v>488800276</v>
      </c>
      <c r="BL205" s="146">
        <f t="shared" si="212"/>
        <v>864037826</v>
      </c>
      <c r="BM205" s="146">
        <f t="shared" si="212"/>
        <v>0</v>
      </c>
      <c r="BN205" s="146">
        <f t="shared" si="212"/>
        <v>80844085</v>
      </c>
      <c r="BO205" s="146">
        <f t="shared" si="212"/>
        <v>92524043</v>
      </c>
      <c r="BP205" s="146">
        <f t="shared" si="212"/>
        <v>1079087465</v>
      </c>
      <c r="BQ205" s="950">
        <f t="shared" si="205"/>
        <v>0.2233439736926508</v>
      </c>
      <c r="BR205" s="146">
        <f t="shared" ref="BR205:CL205" si="213">SUM(BR199:BR204)</f>
        <v>5032801054</v>
      </c>
      <c r="BS205" s="146">
        <f t="shared" si="213"/>
        <v>0</v>
      </c>
      <c r="BT205" s="146">
        <f t="shared" si="213"/>
        <v>7221978</v>
      </c>
      <c r="BU205" s="146">
        <f t="shared" si="213"/>
        <v>31800000</v>
      </c>
      <c r="BV205" s="149">
        <f t="shared" si="213"/>
        <v>2244388243</v>
      </c>
      <c r="BW205" s="149">
        <f t="shared" si="213"/>
        <v>2508044</v>
      </c>
      <c r="BX205" s="149">
        <f t="shared" si="213"/>
        <v>353626678</v>
      </c>
      <c r="BY205" s="149">
        <f t="shared" si="213"/>
        <v>135829325</v>
      </c>
      <c r="BZ205" s="149">
        <f t="shared" si="213"/>
        <v>0</v>
      </c>
      <c r="CA205" s="149">
        <f t="shared" si="213"/>
        <v>0</v>
      </c>
      <c r="CB205" s="149">
        <f t="shared" si="213"/>
        <v>1940856</v>
      </c>
      <c r="CC205" s="149">
        <f t="shared" si="213"/>
        <v>3438802</v>
      </c>
      <c r="CD205" s="149">
        <f t="shared" si="213"/>
        <v>152538451</v>
      </c>
      <c r="CE205" s="149">
        <f t="shared" si="213"/>
        <v>1458386045</v>
      </c>
      <c r="CF205" s="149">
        <f t="shared" si="213"/>
        <v>117853720</v>
      </c>
      <c r="CG205" s="149">
        <f t="shared" si="213"/>
        <v>238637358</v>
      </c>
      <c r="CH205" s="149">
        <f t="shared" si="213"/>
        <v>15016226</v>
      </c>
      <c r="CI205" s="149">
        <f t="shared" si="213"/>
        <v>0</v>
      </c>
      <c r="CJ205" s="149">
        <f t="shared" si="213"/>
        <v>0</v>
      </c>
      <c r="CK205" s="149">
        <f t="shared" si="213"/>
        <v>0</v>
      </c>
      <c r="CL205" s="149">
        <f t="shared" si="213"/>
        <v>269615328</v>
      </c>
      <c r="CM205" s="959">
        <f t="shared" si="207"/>
        <v>0.54193844468540864</v>
      </c>
      <c r="CN205" s="149">
        <f t="shared" ref="CN205:DH205" si="214">SUM(CN199:CN204)</f>
        <v>12211963146</v>
      </c>
      <c r="CO205" s="149">
        <f t="shared" si="214"/>
        <v>0</v>
      </c>
      <c r="CP205" s="219">
        <f t="shared" si="214"/>
        <v>127311678</v>
      </c>
      <c r="CQ205" s="219">
        <f t="shared" si="214"/>
        <v>364926534</v>
      </c>
      <c r="CR205" s="219">
        <f t="shared" si="214"/>
        <v>4707463138</v>
      </c>
      <c r="CS205" s="219">
        <f t="shared" si="214"/>
        <v>12550540</v>
      </c>
      <c r="CT205" s="954">
        <f t="shared" si="214"/>
        <v>1939216290</v>
      </c>
      <c r="CU205" s="954">
        <f t="shared" si="214"/>
        <v>1019225454</v>
      </c>
      <c r="CV205" s="954">
        <f t="shared" si="214"/>
        <v>102810569</v>
      </c>
      <c r="CW205" s="954">
        <f t="shared" si="214"/>
        <v>129471348</v>
      </c>
      <c r="CX205" s="954">
        <f t="shared" si="214"/>
        <v>0</v>
      </c>
      <c r="CY205" s="954">
        <f t="shared" si="214"/>
        <v>0</v>
      </c>
      <c r="CZ205" s="954">
        <f t="shared" si="214"/>
        <v>50855038</v>
      </c>
      <c r="DA205" s="954">
        <f t="shared" si="214"/>
        <v>1689569911</v>
      </c>
      <c r="DB205" s="954">
        <f t="shared" si="214"/>
        <v>163273356</v>
      </c>
      <c r="DC205" s="954">
        <f t="shared" si="214"/>
        <v>398265131</v>
      </c>
      <c r="DD205" s="954">
        <f t="shared" si="214"/>
        <v>603562553</v>
      </c>
      <c r="DE205" s="954">
        <f t="shared" si="214"/>
        <v>0</v>
      </c>
      <c r="DF205" s="954">
        <f t="shared" si="214"/>
        <v>32548551</v>
      </c>
      <c r="DG205" s="954">
        <f t="shared" si="214"/>
        <v>0</v>
      </c>
      <c r="DH205" s="955">
        <f t="shared" si="214"/>
        <v>870913055</v>
      </c>
      <c r="DI205" s="1011">
        <f t="shared" si="209"/>
        <v>0.45806155531459136</v>
      </c>
      <c r="DJ205" s="954">
        <f t="shared" ref="DJ205:ED205" ca="1" si="215">SUM(DJ199:DJ204)</f>
        <v>10321893357</v>
      </c>
      <c r="DK205" s="1041">
        <f t="shared" si="215"/>
        <v>0</v>
      </c>
      <c r="DL205" s="955">
        <f t="shared" ca="1" si="215"/>
        <v>7221978</v>
      </c>
      <c r="DM205" s="955">
        <f t="shared" si="215"/>
        <v>31800000</v>
      </c>
      <c r="DN205" s="955">
        <f t="shared" si="215"/>
        <v>5154680474</v>
      </c>
      <c r="DO205" s="955">
        <f t="shared" si="215"/>
        <v>80345334</v>
      </c>
      <c r="DP205" s="149">
        <f t="shared" si="215"/>
        <v>569964587</v>
      </c>
      <c r="DQ205" s="149">
        <f t="shared" si="215"/>
        <v>280774546</v>
      </c>
      <c r="DR205" s="149">
        <f t="shared" si="215"/>
        <v>0</v>
      </c>
      <c r="DS205" s="149">
        <f t="shared" si="215"/>
        <v>90000000</v>
      </c>
      <c r="DT205" s="149">
        <f t="shared" si="215"/>
        <v>1940856</v>
      </c>
      <c r="DU205" s="149">
        <f t="shared" si="215"/>
        <v>3438802</v>
      </c>
      <c r="DV205" s="149">
        <f t="shared" si="215"/>
        <v>267809476</v>
      </c>
      <c r="DW205" s="149">
        <f t="shared" si="215"/>
        <v>2425308204</v>
      </c>
      <c r="DX205" s="149">
        <f t="shared" si="215"/>
        <v>185335783</v>
      </c>
      <c r="DY205" s="149">
        <f t="shared" si="215"/>
        <v>329172503</v>
      </c>
      <c r="DZ205" s="149">
        <f t="shared" si="215"/>
        <v>275491499</v>
      </c>
      <c r="EA205" s="149">
        <f t="shared" si="215"/>
        <v>0</v>
      </c>
      <c r="EB205" s="149">
        <f t="shared" si="215"/>
        <v>48295534</v>
      </c>
      <c r="EC205" s="149">
        <f t="shared" si="215"/>
        <v>92524043</v>
      </c>
      <c r="ED205" s="149">
        <f t="shared" si="215"/>
        <v>477789738</v>
      </c>
    </row>
    <row r="206" spans="1:134" x14ac:dyDescent="0.25">
      <c r="C206" s="988"/>
      <c r="D206" s="1098" t="s">
        <v>3307</v>
      </c>
      <c r="E206" s="1104">
        <v>301</v>
      </c>
      <c r="F206" s="133"/>
      <c r="G206" s="875">
        <f>SUMIF($E$4:$E$194,"301",$G$4:$G$194)</f>
        <v>1952000000</v>
      </c>
      <c r="H206" s="1060">
        <f>SUMIF($E$4:$E$194,"301",$H$4:$H$194)</f>
        <v>2270218833</v>
      </c>
      <c r="I206" s="1060">
        <f>SUMIF($E$4:$E$194,"301",$I$4:$I$194)</f>
        <v>285017967</v>
      </c>
      <c r="J206" s="133" t="s">
        <v>4760</v>
      </c>
      <c r="K206" s="133"/>
      <c r="L206" s="133"/>
      <c r="M206" s="133"/>
      <c r="N206" s="133"/>
      <c r="O206" s="133"/>
      <c r="P206" s="133"/>
      <c r="Q206" s="133"/>
      <c r="R206" s="133"/>
      <c r="S206" s="133"/>
      <c r="T206" s="133"/>
      <c r="U206" s="133"/>
      <c r="V206" s="133"/>
      <c r="W206" s="133"/>
      <c r="X206" s="133"/>
      <c r="Y206" s="951">
        <f>SUMIF($E$4:$E$194,"301",$Y$4:$Y$194)</f>
        <v>2555236800</v>
      </c>
      <c r="Z206" s="951">
        <f>SUMIF($E$4:$E$194,"301",$Z$4:$Z$194)</f>
        <v>104079469</v>
      </c>
      <c r="AA206" s="216">
        <f>SUMIF($E$4:$E$192,"301",$AA$4:$AA$192)</f>
        <v>0</v>
      </c>
      <c r="AB206" s="216">
        <f>SUMIF($E$4:$E$195,"301",$AB$4:$AB$195)</f>
        <v>0</v>
      </c>
      <c r="AC206" s="216">
        <f>SUMIF($E$4:$E$194,"301",$AC$4:$AC$194)</f>
        <v>0</v>
      </c>
      <c r="AD206" s="951">
        <f>SUMIF($E$4:$E$194,"301",$AD$4:$AD$194)</f>
        <v>0</v>
      </c>
      <c r="AE206" s="133">
        <f>SUMIF($E$4:$E$192,"301",$AE$4:$AE$192)</f>
        <v>0</v>
      </c>
      <c r="AF206" s="133">
        <f>SUMIF($E$4:$E$192,"301",$AF$4:$AF$192)</f>
        <v>0</v>
      </c>
      <c r="AG206" s="133">
        <f>SUMIF($E$4:$E$192,"301",$AG$4:$AG$192)</f>
        <v>0</v>
      </c>
      <c r="AH206" s="133">
        <f>SUMIF($E$4:$E$192,"301",$AH$4:$AH$192)</f>
        <v>0</v>
      </c>
      <c r="AI206" s="133">
        <f>SUMIF($E$4:$E$192,"301",$AI$4:$AI$192)</f>
        <v>0</v>
      </c>
      <c r="AJ206" s="133">
        <f>SUMIF($E$4:$E$192,"301",$AJ$4:$AJ$192)</f>
        <v>0</v>
      </c>
      <c r="AK206" s="133">
        <f>SUMIF($E$4:$E$192,"301",$AK$4:$AK$192)</f>
        <v>0</v>
      </c>
      <c r="AL206" s="133">
        <f>SUMIF($E$4:$E$192,"301",$AL$4:$AL$192)</f>
        <v>0</v>
      </c>
      <c r="AM206" s="133">
        <f>SUMIF($E$4:$E$192,"301",$AM$4:$AM$192)</f>
        <v>728406867</v>
      </c>
      <c r="AN206" s="133">
        <f>SUMIF($E$4:$E$192,"301",$AN$4:$AN$192)</f>
        <v>346819196</v>
      </c>
      <c r="AO206" s="133">
        <f>SUMIF($E$4:$E$192,"301",$AO$4:$AO$192)</f>
        <v>120323279</v>
      </c>
      <c r="AP206" s="133">
        <f>SUMIF($E$4:$E$163,"301",$AP$4:$AP$163)</f>
        <v>1181607989</v>
      </c>
      <c r="AQ206" s="133">
        <f>SUMIF($E$4:$E$163,"301",$AQ$4:$AQ$163)</f>
        <v>0</v>
      </c>
      <c r="AR206" s="133">
        <f>SUMIF($E$4:$E$192,"301",$AR$4:$AR$192)</f>
        <v>0</v>
      </c>
      <c r="AS206" s="133">
        <f>SUMIF($E$4:$E$194,"301",$AS$4:$AS$194)</f>
        <v>74000000</v>
      </c>
      <c r="AU206" s="946">
        <f t="shared" si="203"/>
        <v>0.95536877443217783</v>
      </c>
      <c r="AV206" s="218">
        <f>SUM(AW206:BP206)</f>
        <v>2441193450</v>
      </c>
      <c r="AW206" s="951">
        <f>SUMIF($E$4:$E$192,"301",$AW$4:$AW$192)</f>
        <v>103245422</v>
      </c>
      <c r="AX206" s="951">
        <f>SUMIF($E$4:$E$194,"301",$AX$4:$AX$194)</f>
        <v>0</v>
      </c>
      <c r="AY206" s="951">
        <f>SUMIF($E$4:$E$194,"301",$AY$4:$AY$194)</f>
        <v>0</v>
      </c>
      <c r="AZ206" s="951">
        <f>SUMIF($E$4:$E$194,"301",$AZ$4:$AZ$194)</f>
        <v>0</v>
      </c>
      <c r="BA206" s="951">
        <f>SUMIF($E$4:$E$192,"301",$BA$4:$BA$192)</f>
        <v>0</v>
      </c>
      <c r="BB206" s="951">
        <f>SUMIF($E$4:$E$192,"301",$BB$4:$BB$192)</f>
        <v>0</v>
      </c>
      <c r="BC206" s="951">
        <f>SUMIF($E$4:$E$194,"301",$BC$4:$BC$194)</f>
        <v>0</v>
      </c>
      <c r="BD206" s="951">
        <f>SUMIF($E$4:$E$194,"301",$BD$4:$BD$194)</f>
        <v>0</v>
      </c>
      <c r="BE206" s="951">
        <f>SUMIF($E$4:$E$192,"301",$BE$4:$BE$192)</f>
        <v>0</v>
      </c>
      <c r="BF206" s="951">
        <f>SUMIF($E$4:$E$192,"301",$BF$4:$BF$192)</f>
        <v>0</v>
      </c>
      <c r="BG206" s="951">
        <f>SUMIF($E$4:$E$163,"301",$BG$4:$BG$163)</f>
        <v>0</v>
      </c>
      <c r="BH206" s="951">
        <f>SUMIF($E$4:$E$192,"301",$BH$4:$BH$192)</f>
        <v>0</v>
      </c>
      <c r="BI206" s="951">
        <f>SUMIF($E$4:$E$192,"301",$BI$4:$BI$192)</f>
        <v>0</v>
      </c>
      <c r="BJ206" s="951">
        <f>SUMIF($E$4:$E$192,"301",$BJ$4:$BJ$192)</f>
        <v>709199167</v>
      </c>
      <c r="BK206" s="951">
        <f>SUMIF($E$4:$E$194,"301",$BK$4:$BK$194)</f>
        <v>332734396</v>
      </c>
      <c r="BL206" s="951">
        <f>SUMIF($E$4:$E$192,"301",$BL$4:$BL$192)</f>
        <v>90750110</v>
      </c>
      <c r="BM206" s="951">
        <f>SUMIF($E$4:$E$192,"301",$BM$4:$BM$192)</f>
        <v>1141064355</v>
      </c>
      <c r="BN206" s="951">
        <f>SUMIF($E$4:$E$192,"301",$BN$4:$BN$192)</f>
        <v>0</v>
      </c>
      <c r="BO206" s="951">
        <f>SUMIF($E$4:$E$192,"301",$BO$4:$BO$192)</f>
        <v>0</v>
      </c>
      <c r="BP206" s="951">
        <f>SUMIF($E$4:$E$192,"301",$BP$4:$BP$192)</f>
        <v>64200000</v>
      </c>
      <c r="BQ206" s="950">
        <f t="shared" si="205"/>
        <v>4.4631225567822175E-2</v>
      </c>
      <c r="BR206" s="149">
        <f>SUM(BS206:CL206)</f>
        <v>114043350</v>
      </c>
      <c r="BS206" s="953">
        <f>SUMIF($E$4:$E$192,"301",$BS$4:$BS$192)</f>
        <v>834047</v>
      </c>
      <c r="BT206" s="953">
        <f>SUMIF($E$4:$E$192,"301",$BT$4:$BT$192)</f>
        <v>0</v>
      </c>
      <c r="BU206" s="953">
        <f>SUMIF($E$4:$E$192,"301",$BU$4:$BU$192)</f>
        <v>0</v>
      </c>
      <c r="BV206" s="953">
        <f>SUMIF($E$4:$E$194,"301",$BV$4:$BV$194)</f>
        <v>0</v>
      </c>
      <c r="BW206" s="953">
        <f>SUMIF($E$4:$E$194,"301",$BW$4:$BW$194)</f>
        <v>0</v>
      </c>
      <c r="BX206" s="953">
        <f>SUMIF($E$4:$E$192,"301",$BX$4:$BX$192)</f>
        <v>0</v>
      </c>
      <c r="BY206" s="953">
        <f>SUMIF($E$4:$E$192,"301",$BY$4:$BY$192)</f>
        <v>0</v>
      </c>
      <c r="BZ206" s="953">
        <f>SUMIF($E$4:$E$192,"301",$BZ$4:$BZ$192)</f>
        <v>0</v>
      </c>
      <c r="CA206" s="953">
        <f>SUMIF($E$4:$E$192,"301",$CA$4:$CA$192)</f>
        <v>0</v>
      </c>
      <c r="CB206" s="953">
        <f>SUMIF($E$4:$E$192,"301",$CB$4:$CB$192)</f>
        <v>0</v>
      </c>
      <c r="CC206" s="953">
        <f>SUMIF($E$4:$E$192,"301",$CC$4:$CC$192)</f>
        <v>0</v>
      </c>
      <c r="CD206" s="953">
        <f>SUMIF($E$4:$E$192,"301",$CD$4:$CD$192)</f>
        <v>0</v>
      </c>
      <c r="CE206" s="953">
        <f>SUMIF($E$4:$E$192,"301",$CE$4:$CE$192)</f>
        <v>0</v>
      </c>
      <c r="CF206" s="953">
        <f>SUMIF($E$4:$E$192,"301",$CF$4:$CF$192)</f>
        <v>19207700</v>
      </c>
      <c r="CG206" s="953">
        <f>SUMIF($E$4:$E$192,"301",$CG$4:$CG$192)</f>
        <v>14084800</v>
      </c>
      <c r="CH206" s="953">
        <f>SUMIF($E$4:$E$192,"301",$CH$4:$CH$192)</f>
        <v>29573169</v>
      </c>
      <c r="CI206" s="953">
        <f>SUMIF($E$4:$E$192,"301",$CI$4:$CI$192)</f>
        <v>40543634</v>
      </c>
      <c r="CJ206" s="953">
        <f>SUMIF($E$4:$E$192,"301",$CJ$4:$CJ$192)</f>
        <v>0</v>
      </c>
      <c r="CK206" s="953"/>
      <c r="CL206" s="956">
        <f>SUMIF($E$4:$E$194,"301",$CL$4:$CL$194)</f>
        <v>9800000</v>
      </c>
      <c r="CM206" s="959">
        <f t="shared" si="207"/>
        <v>0.88845731753706736</v>
      </c>
      <c r="CN206" s="149">
        <f>SUM(CO206:DH206)</f>
        <v>2270218833</v>
      </c>
      <c r="CO206" s="951">
        <f>SUMIF($E$4:$E$194,"301",$CO$4:$CO$194)</f>
        <v>94013966</v>
      </c>
      <c r="CP206" s="951">
        <f>SUMIF($E$4:$E$192,"301",$CP$4:$CP$192)</f>
        <v>0</v>
      </c>
      <c r="CQ206" s="951">
        <f>SUMIF($E$4:$E$192,"301",$CQ$4:$CQ$192)</f>
        <v>0</v>
      </c>
      <c r="CR206" s="951">
        <f>SUMIF($E$4:$E$192,"301",$CR$4:$CR$192)</f>
        <v>0</v>
      </c>
      <c r="CS206" s="951">
        <f>SUMIF($E$4:$E$194,"301",$CS$4:$CS$194)</f>
        <v>0</v>
      </c>
      <c r="CT206" s="951">
        <f>SUMIF($E$4:$E$192,"301",$CT$4:$CT$192)</f>
        <v>0</v>
      </c>
      <c r="CU206" s="951">
        <f>SUMIF($E$4:$E$192,"301",$CU$4:$CU$192)</f>
        <v>0</v>
      </c>
      <c r="CV206" s="951">
        <f>SUMIF($E$4:$E$194,"301",$CV$4:$CV$194)</f>
        <v>0</v>
      </c>
      <c r="CW206" s="951">
        <f>SUMIF($E$4:$E$192,"301",$CW$4:$CW$192)</f>
        <v>0</v>
      </c>
      <c r="CX206" s="951">
        <f>SUMIF($E$4:$E$192,"301",$CX$4:$CX$192)</f>
        <v>0</v>
      </c>
      <c r="CY206" s="951">
        <f>SUMIF($E$4:$E$192,"301",$CY$4:$CY$192)</f>
        <v>0</v>
      </c>
      <c r="CZ206" s="951">
        <f>SUMIF($E$4:$E$192,"301",$CZ$4:$CZ$192)</f>
        <v>0</v>
      </c>
      <c r="DA206" s="951">
        <f>SUMIF($E$4:$E$192,"301",$DA$4:$DA$192)</f>
        <v>0</v>
      </c>
      <c r="DB206" s="951">
        <f>SUMIF($E$4:$E$194,"301",$DB$4:$DB$194)</f>
        <v>670072305</v>
      </c>
      <c r="DC206" s="951">
        <f>SUMIF($E$4:$E$192,"301",$DC$4:$DC$192)</f>
        <v>332531008</v>
      </c>
      <c r="DD206" s="951">
        <f>SUMIF($E$4:$E$192,"301",$DD$4:$DD$192)</f>
        <v>56390498</v>
      </c>
      <c r="DE206" s="951">
        <f>SUMIF($E$4:$E$192,"301",$DE$4:$DE$192)</f>
        <v>1082996639</v>
      </c>
      <c r="DF206" s="951">
        <f>SUMIF($E$4:$E$192,"301",$DF$4:$DF$192)</f>
        <v>0</v>
      </c>
      <c r="DG206" s="951">
        <f>SUMIF($E$4:$E$192,"301",$DG$4:$DG$192)</f>
        <v>0</v>
      </c>
      <c r="DH206" s="952">
        <f>SUMIF($E$4:$E$192,"301",$DH$4:$DH$192)</f>
        <v>34214417</v>
      </c>
      <c r="DI206" s="1011">
        <f t="shared" si="209"/>
        <v>0.11154268246293264</v>
      </c>
      <c r="DJ206" s="149">
        <f>SUM(DK206:ED206)</f>
        <v>285017967</v>
      </c>
      <c r="DK206" s="1040">
        <f>SUMIF($E$4:$E$194,"301",$DK$4:$DK$194)</f>
        <v>10065503</v>
      </c>
      <c r="DL206" s="953">
        <f>SUMIF($E$4:$E$192,"301",$DL$4:$DL$192)</f>
        <v>0</v>
      </c>
      <c r="DM206" s="953">
        <f>SUMIF($E$4:$E$194,"301",$DM$4:$DM$194)</f>
        <v>0</v>
      </c>
      <c r="DN206" s="953">
        <f>SUMIF($E$4:$E$192,"301",$DN$4:$DN$192)</f>
        <v>0</v>
      </c>
      <c r="DO206" s="953">
        <f>SUMIF($E$4:$E$194,"301",$DO$4:$DO$194)</f>
        <v>0</v>
      </c>
      <c r="DP206" s="953">
        <f>SUMIF($E$4:$E$194,"301",$DP$4:$DP$194)</f>
        <v>0</v>
      </c>
      <c r="DQ206" s="953">
        <f>SUMIF($E$4:$E$192,"301",$DQ$4:$DQ$192)</f>
        <v>0</v>
      </c>
      <c r="DR206" s="953">
        <f>SUMIF($E$4:$E$194,"301",$DR$4:$DR$194)</f>
        <v>0</v>
      </c>
      <c r="DS206" s="208">
        <f>SUMIF($E$4:$E$192,"301",$DS$4:$DS$192)</f>
        <v>0</v>
      </c>
      <c r="DT206" s="208">
        <f>SUMIF($E$4:$E$192,"301",$DT$4:$DT$192)</f>
        <v>0</v>
      </c>
      <c r="DU206" s="208">
        <f>SUMIF($E$4:$E$194,"301",$DU$4:$DU$194)</f>
        <v>0</v>
      </c>
      <c r="DV206" s="208">
        <f>SUMIF($E$4:$E$192,"301",$DV$4:$DV$192)</f>
        <v>0</v>
      </c>
      <c r="DW206" s="208">
        <f>SUMIF($E$4:$E$192,"301",$DW$4:$DW$192)</f>
        <v>0</v>
      </c>
      <c r="DX206" s="208">
        <f>SUMIF($E$4:$E$194,"301",$DX$4:$DX$194)</f>
        <v>58334562</v>
      </c>
      <c r="DY206" s="208">
        <f>SUMIF($E$4:$E$192,"301",$DY$4:$DY$192)</f>
        <v>14288188</v>
      </c>
      <c r="DZ206" s="208">
        <f>SUMIF($E$4:$E$192,"301",$DZ$4:$DZ$192)</f>
        <v>63932781</v>
      </c>
      <c r="EA206" s="208">
        <f>SUMIF($E$4:$E$192,"301",$EA$4:$EA$192)</f>
        <v>98611350</v>
      </c>
      <c r="EB206" s="208">
        <f>SUMIF($E$4:$E$192,"301",$EB$4:$EB$192)</f>
        <v>0</v>
      </c>
      <c r="EC206" s="208">
        <f>SUMIF($E$4:$E$192,"301",$EC$4:$EC$192)</f>
        <v>0</v>
      </c>
      <c r="ED206" s="208">
        <f>SUMIF($E$4:$E$194,"301",$ED$4:$ED$194)</f>
        <v>39785583</v>
      </c>
    </row>
    <row r="207" spans="1:134" ht="15.75" thickBot="1" x14ac:dyDescent="0.3">
      <c r="C207" s="1533" t="s">
        <v>4588</v>
      </c>
      <c r="D207" s="1534"/>
      <c r="E207" s="132"/>
      <c r="F207" s="134"/>
      <c r="G207" s="145">
        <f>SUM(G205:G206)</f>
        <v>31953000000</v>
      </c>
      <c r="H207" s="134">
        <f>SUM(H205:H206)</f>
        <v>14482181979</v>
      </c>
      <c r="I207" s="134">
        <f>SUM(I205:I206)</f>
        <v>10606911324</v>
      </c>
      <c r="J207" s="134"/>
      <c r="K207" s="134"/>
      <c r="L207" s="134"/>
      <c r="M207" s="134"/>
      <c r="N207" s="134"/>
      <c r="O207" s="134"/>
      <c r="P207" s="134"/>
      <c r="Q207" s="134"/>
      <c r="R207" s="134"/>
      <c r="S207" s="134"/>
      <c r="T207" s="134"/>
      <c r="U207" s="134"/>
      <c r="V207" s="134"/>
      <c r="W207" s="134"/>
      <c r="X207" s="134"/>
      <c r="Y207" s="945">
        <f t="shared" ref="Y207:AT207" si="216">SUM(Y205:Y206)</f>
        <v>25089093303</v>
      </c>
      <c r="Z207" s="945">
        <f t="shared" si="216"/>
        <v>104079469</v>
      </c>
      <c r="AA207" s="945">
        <f t="shared" si="216"/>
        <v>134533656</v>
      </c>
      <c r="AB207" s="945">
        <f t="shared" si="216"/>
        <v>396726534</v>
      </c>
      <c r="AC207" s="945">
        <f t="shared" si="216"/>
        <v>9862143612</v>
      </c>
      <c r="AD207" s="945">
        <f t="shared" si="216"/>
        <v>92895874</v>
      </c>
      <c r="AE207" s="945">
        <f t="shared" si="216"/>
        <v>2509180877</v>
      </c>
      <c r="AF207" s="945">
        <f t="shared" si="216"/>
        <v>1300000000</v>
      </c>
      <c r="AG207" s="945">
        <f t="shared" si="216"/>
        <v>102810569</v>
      </c>
      <c r="AH207" s="945">
        <f t="shared" si="216"/>
        <v>219471348</v>
      </c>
      <c r="AI207" s="945">
        <f t="shared" si="216"/>
        <v>1940856</v>
      </c>
      <c r="AJ207" s="945">
        <f t="shared" si="216"/>
        <v>3438802</v>
      </c>
      <c r="AK207" s="945">
        <f t="shared" si="216"/>
        <v>318664514</v>
      </c>
      <c r="AL207" s="945">
        <f t="shared" si="216"/>
        <v>4114878115</v>
      </c>
      <c r="AM207" s="945">
        <f t="shared" si="216"/>
        <v>1077016006</v>
      </c>
      <c r="AN207" s="945">
        <f t="shared" si="216"/>
        <v>1074256830</v>
      </c>
      <c r="AO207" s="945">
        <f t="shared" si="216"/>
        <v>999377331</v>
      </c>
      <c r="AP207" s="945">
        <f t="shared" si="216"/>
        <v>1181607989</v>
      </c>
      <c r="AQ207" s="945">
        <f t="shared" si="216"/>
        <v>80844085</v>
      </c>
      <c r="AR207" s="945">
        <f t="shared" si="216"/>
        <v>92524043</v>
      </c>
      <c r="AS207" s="945">
        <f t="shared" si="216"/>
        <v>1422702793</v>
      </c>
      <c r="AT207" s="945">
        <f t="shared" si="216"/>
        <v>0</v>
      </c>
      <c r="AU207" s="958">
        <f t="shared" si="203"/>
        <v>0.7948572974781607</v>
      </c>
      <c r="AV207" s="947">
        <f t="shared" ref="AV207:BP207" si="217">AV205+AV206</f>
        <v>19942248899</v>
      </c>
      <c r="AW207" s="947">
        <f t="shared" si="217"/>
        <v>103245422</v>
      </c>
      <c r="AX207" s="947">
        <f t="shared" si="217"/>
        <v>127311678</v>
      </c>
      <c r="AY207" s="947">
        <f t="shared" si="217"/>
        <v>364926534</v>
      </c>
      <c r="AZ207" s="947">
        <f t="shared" si="217"/>
        <v>7617755369</v>
      </c>
      <c r="BA207" s="947">
        <f t="shared" si="217"/>
        <v>90387830</v>
      </c>
      <c r="BB207" s="947">
        <f t="shared" si="217"/>
        <v>2155554199</v>
      </c>
      <c r="BC207" s="947">
        <f t="shared" si="217"/>
        <v>1164170675</v>
      </c>
      <c r="BD207" s="947">
        <f t="shared" si="217"/>
        <v>102810569</v>
      </c>
      <c r="BE207" s="947">
        <f t="shared" si="217"/>
        <v>219471348</v>
      </c>
      <c r="BF207" s="947">
        <f t="shared" si="217"/>
        <v>0</v>
      </c>
      <c r="BG207" s="947">
        <f t="shared" si="217"/>
        <v>0</v>
      </c>
      <c r="BH207" s="947">
        <f t="shared" si="217"/>
        <v>166126063</v>
      </c>
      <c r="BI207" s="947">
        <f t="shared" si="217"/>
        <v>2656492070</v>
      </c>
      <c r="BJ207" s="947">
        <f t="shared" si="217"/>
        <v>939954586</v>
      </c>
      <c r="BK207" s="947">
        <f t="shared" si="217"/>
        <v>821534672</v>
      </c>
      <c r="BL207" s="947">
        <f t="shared" si="217"/>
        <v>954787936</v>
      </c>
      <c r="BM207" s="947">
        <f t="shared" si="217"/>
        <v>1141064355</v>
      </c>
      <c r="BN207" s="947">
        <f t="shared" si="217"/>
        <v>80844085</v>
      </c>
      <c r="BO207" s="947">
        <f t="shared" si="217"/>
        <v>92524043</v>
      </c>
      <c r="BP207" s="947">
        <f t="shared" si="217"/>
        <v>1143287465</v>
      </c>
      <c r="BQ207" s="950">
        <f t="shared" si="205"/>
        <v>0.2051427025218393</v>
      </c>
      <c r="BR207" s="947">
        <f>BR205+BR206</f>
        <v>5146844404</v>
      </c>
      <c r="BS207" s="947">
        <f>BS205+BS206</f>
        <v>834047</v>
      </c>
      <c r="BT207" s="947">
        <f>BT205+BT206</f>
        <v>7221978</v>
      </c>
      <c r="BU207" s="947">
        <f>BU205+BU206</f>
        <v>31800000</v>
      </c>
      <c r="BV207" s="966">
        <f t="shared" ref="BV207:CL207" si="218">+BV205+BV206</f>
        <v>2244388243</v>
      </c>
      <c r="BW207" s="966">
        <f t="shared" si="218"/>
        <v>2508044</v>
      </c>
      <c r="BX207" s="966">
        <f t="shared" si="218"/>
        <v>353626678</v>
      </c>
      <c r="BY207" s="966">
        <f t="shared" si="218"/>
        <v>135829325</v>
      </c>
      <c r="BZ207" s="966">
        <f t="shared" si="218"/>
        <v>0</v>
      </c>
      <c r="CA207" s="966">
        <f t="shared" si="218"/>
        <v>0</v>
      </c>
      <c r="CB207" s="966">
        <f t="shared" si="218"/>
        <v>1940856</v>
      </c>
      <c r="CC207" s="966">
        <f t="shared" si="218"/>
        <v>3438802</v>
      </c>
      <c r="CD207" s="966">
        <f t="shared" si="218"/>
        <v>152538451</v>
      </c>
      <c r="CE207" s="966">
        <f t="shared" si="218"/>
        <v>1458386045</v>
      </c>
      <c r="CF207" s="966">
        <f t="shared" si="218"/>
        <v>137061420</v>
      </c>
      <c r="CG207" s="966">
        <f t="shared" si="218"/>
        <v>252722158</v>
      </c>
      <c r="CH207" s="966">
        <f t="shared" si="218"/>
        <v>44589395</v>
      </c>
      <c r="CI207" s="966">
        <f t="shared" si="218"/>
        <v>40543634</v>
      </c>
      <c r="CJ207" s="966">
        <f t="shared" si="218"/>
        <v>0</v>
      </c>
      <c r="CK207" s="966">
        <f t="shared" si="218"/>
        <v>0</v>
      </c>
      <c r="CL207" s="966">
        <f t="shared" si="218"/>
        <v>279415328</v>
      </c>
      <c r="CM207" s="960">
        <f t="shared" si="207"/>
        <v>0.57723018540762927</v>
      </c>
      <c r="CN207" s="1047">
        <f t="shared" ref="CN207:CS207" si="219">+CN205+CN206</f>
        <v>14482181979</v>
      </c>
      <c r="CO207" s="966">
        <f t="shared" si="219"/>
        <v>94013966</v>
      </c>
      <c r="CP207" s="966">
        <f t="shared" si="219"/>
        <v>127311678</v>
      </c>
      <c r="CQ207" s="966">
        <f t="shared" si="219"/>
        <v>364926534</v>
      </c>
      <c r="CR207" s="966">
        <f t="shared" si="219"/>
        <v>4707463138</v>
      </c>
      <c r="CS207" s="966">
        <f t="shared" si="219"/>
        <v>12550540</v>
      </c>
      <c r="CT207" s="945">
        <f t="shared" ref="CT207:DH207" si="220">SUM(CT205:CT206)</f>
        <v>1939216290</v>
      </c>
      <c r="CU207" s="945">
        <f t="shared" si="220"/>
        <v>1019225454</v>
      </c>
      <c r="CV207" s="945">
        <f t="shared" si="220"/>
        <v>102810569</v>
      </c>
      <c r="CW207" s="945">
        <f t="shared" si="220"/>
        <v>129471348</v>
      </c>
      <c r="CX207" s="945">
        <f t="shared" si="220"/>
        <v>0</v>
      </c>
      <c r="CY207" s="945">
        <f t="shared" si="220"/>
        <v>0</v>
      </c>
      <c r="CZ207" s="945">
        <f t="shared" si="220"/>
        <v>50855038</v>
      </c>
      <c r="DA207" s="945">
        <f t="shared" si="220"/>
        <v>1689569911</v>
      </c>
      <c r="DB207" s="945">
        <f t="shared" si="220"/>
        <v>833345661</v>
      </c>
      <c r="DC207" s="945">
        <f t="shared" si="220"/>
        <v>730796139</v>
      </c>
      <c r="DD207" s="945">
        <f t="shared" si="220"/>
        <v>659953051</v>
      </c>
      <c r="DE207" s="945">
        <f t="shared" si="220"/>
        <v>1082996639</v>
      </c>
      <c r="DF207" s="945">
        <f t="shared" si="220"/>
        <v>32548551</v>
      </c>
      <c r="DG207" s="945">
        <f t="shared" si="220"/>
        <v>0</v>
      </c>
      <c r="DH207" s="957">
        <f t="shared" si="220"/>
        <v>905127472</v>
      </c>
      <c r="DI207" s="1034">
        <f t="shared" si="209"/>
        <v>0.42276981459237073</v>
      </c>
      <c r="DJ207" s="945">
        <f t="shared" ref="DJ207:ED207" ca="1" si="221">SUM(DJ205:DJ206)</f>
        <v>10606911324</v>
      </c>
      <c r="DK207" s="1042">
        <f t="shared" si="221"/>
        <v>10065503</v>
      </c>
      <c r="DL207" s="957">
        <f t="shared" ca="1" si="221"/>
        <v>7221978</v>
      </c>
      <c r="DM207" s="957">
        <f t="shared" si="221"/>
        <v>31800000</v>
      </c>
      <c r="DN207" s="957">
        <f t="shared" si="221"/>
        <v>5154680474</v>
      </c>
      <c r="DO207" s="957">
        <f t="shared" si="221"/>
        <v>80345334</v>
      </c>
      <c r="DP207" s="945">
        <f t="shared" si="221"/>
        <v>569964587</v>
      </c>
      <c r="DQ207" s="945">
        <f t="shared" si="221"/>
        <v>280774546</v>
      </c>
      <c r="DR207" s="945">
        <f t="shared" si="221"/>
        <v>0</v>
      </c>
      <c r="DS207" s="145">
        <f t="shared" si="221"/>
        <v>90000000</v>
      </c>
      <c r="DT207" s="145">
        <f t="shared" si="221"/>
        <v>1940856</v>
      </c>
      <c r="DU207" s="145">
        <f t="shared" si="221"/>
        <v>3438802</v>
      </c>
      <c r="DV207" s="145">
        <f t="shared" si="221"/>
        <v>267809476</v>
      </c>
      <c r="DW207" s="145">
        <f t="shared" si="221"/>
        <v>2425308204</v>
      </c>
      <c r="DX207" s="145">
        <f t="shared" si="221"/>
        <v>243670345</v>
      </c>
      <c r="DY207" s="145">
        <f t="shared" si="221"/>
        <v>343460691</v>
      </c>
      <c r="DZ207" s="145">
        <f t="shared" si="221"/>
        <v>339424280</v>
      </c>
      <c r="EA207" s="145">
        <f t="shared" si="221"/>
        <v>98611350</v>
      </c>
      <c r="EB207" s="145">
        <f t="shared" si="221"/>
        <v>48295534</v>
      </c>
      <c r="EC207" s="145">
        <f t="shared" si="221"/>
        <v>92524043</v>
      </c>
      <c r="ED207" s="145">
        <f t="shared" si="221"/>
        <v>517575321</v>
      </c>
    </row>
    <row r="208" spans="1:134" ht="15.75" thickTop="1" x14ac:dyDescent="0.25">
      <c r="Y208" s="1">
        <f t="shared" ref="Y208:AS208" si="222">+Y197-Y207</f>
        <v>0</v>
      </c>
      <c r="Z208" s="1">
        <f t="shared" si="222"/>
        <v>0</v>
      </c>
      <c r="AA208" s="1">
        <f t="shared" si="222"/>
        <v>0</v>
      </c>
      <c r="AB208" s="1">
        <f t="shared" si="222"/>
        <v>0</v>
      </c>
      <c r="AC208" s="1">
        <f t="shared" si="222"/>
        <v>0</v>
      </c>
      <c r="AD208" s="1">
        <f t="shared" si="222"/>
        <v>0</v>
      </c>
      <c r="AE208" s="1">
        <f t="shared" si="222"/>
        <v>0</v>
      </c>
      <c r="AF208" s="1">
        <f t="shared" si="222"/>
        <v>0</v>
      </c>
      <c r="AG208" s="1">
        <f t="shared" si="222"/>
        <v>0</v>
      </c>
      <c r="AH208" s="1">
        <f t="shared" si="222"/>
        <v>0</v>
      </c>
      <c r="AI208" s="1">
        <f t="shared" si="222"/>
        <v>0</v>
      </c>
      <c r="AJ208" s="1">
        <f t="shared" si="222"/>
        <v>0</v>
      </c>
      <c r="AK208" s="1">
        <f t="shared" si="222"/>
        <v>0</v>
      </c>
      <c r="AL208" s="1">
        <f t="shared" si="222"/>
        <v>0</v>
      </c>
      <c r="AM208" s="1">
        <f t="shared" si="222"/>
        <v>0</v>
      </c>
      <c r="AN208" s="1">
        <f t="shared" si="222"/>
        <v>0</v>
      </c>
      <c r="AO208" s="1">
        <f t="shared" si="222"/>
        <v>0</v>
      </c>
      <c r="AP208" s="1">
        <f t="shared" si="222"/>
        <v>0</v>
      </c>
      <c r="AQ208" s="1">
        <f t="shared" si="222"/>
        <v>0</v>
      </c>
      <c r="AR208" s="1">
        <f t="shared" si="222"/>
        <v>0</v>
      </c>
      <c r="AS208" s="1">
        <f t="shared" si="222"/>
        <v>0</v>
      </c>
      <c r="AV208" s="1">
        <f t="shared" ref="AV208:BP208" si="223">+AV197-AV207</f>
        <v>0</v>
      </c>
      <c r="AW208" s="1">
        <f t="shared" si="223"/>
        <v>0</v>
      </c>
      <c r="AX208" s="1">
        <f t="shared" si="223"/>
        <v>0</v>
      </c>
      <c r="AY208" s="1">
        <f t="shared" si="223"/>
        <v>0</v>
      </c>
      <c r="AZ208" s="1">
        <f t="shared" si="223"/>
        <v>0</v>
      </c>
      <c r="BA208" s="1">
        <f t="shared" si="223"/>
        <v>-72884540</v>
      </c>
      <c r="BB208" s="1">
        <f t="shared" si="223"/>
        <v>0</v>
      </c>
      <c r="BC208" s="1">
        <f t="shared" si="223"/>
        <v>0</v>
      </c>
      <c r="BD208" s="1">
        <f t="shared" si="223"/>
        <v>0</v>
      </c>
      <c r="BE208" s="1">
        <f t="shared" si="223"/>
        <v>0</v>
      </c>
      <c r="BF208" s="1">
        <f t="shared" si="223"/>
        <v>0</v>
      </c>
      <c r="BG208" s="1">
        <f t="shared" si="223"/>
        <v>0</v>
      </c>
      <c r="BH208" s="1">
        <f t="shared" si="223"/>
        <v>0</v>
      </c>
      <c r="BI208" s="1">
        <f t="shared" si="223"/>
        <v>0</v>
      </c>
      <c r="BJ208" s="1">
        <f t="shared" si="223"/>
        <v>0</v>
      </c>
      <c r="BK208" s="1">
        <f t="shared" si="223"/>
        <v>0</v>
      </c>
      <c r="BL208" s="1">
        <f t="shared" si="223"/>
        <v>0</v>
      </c>
      <c r="BM208" s="1">
        <f t="shared" si="223"/>
        <v>0</v>
      </c>
      <c r="BN208" s="1">
        <f t="shared" si="223"/>
        <v>0</v>
      </c>
      <c r="BO208" s="1">
        <f t="shared" si="223"/>
        <v>0</v>
      </c>
      <c r="BP208" s="1">
        <f t="shared" si="223"/>
        <v>0</v>
      </c>
      <c r="BR208" s="1">
        <f t="shared" ref="BR208:CL208" si="224">+BR197-BR207</f>
        <v>0</v>
      </c>
      <c r="BS208" s="1">
        <f t="shared" si="224"/>
        <v>0</v>
      </c>
      <c r="BT208" s="1">
        <f t="shared" si="224"/>
        <v>0</v>
      </c>
      <c r="BU208" s="1">
        <f t="shared" si="224"/>
        <v>0</v>
      </c>
      <c r="BV208" s="1">
        <f t="shared" si="224"/>
        <v>0</v>
      </c>
      <c r="BW208" s="1">
        <f t="shared" si="224"/>
        <v>0</v>
      </c>
      <c r="BX208" s="1">
        <f t="shared" si="224"/>
        <v>0</v>
      </c>
      <c r="BY208" s="1">
        <f t="shared" si="224"/>
        <v>0</v>
      </c>
      <c r="BZ208" s="1">
        <f t="shared" si="224"/>
        <v>0</v>
      </c>
      <c r="CA208" s="1">
        <f t="shared" si="224"/>
        <v>0</v>
      </c>
      <c r="CB208" s="1">
        <f t="shared" si="224"/>
        <v>0</v>
      </c>
      <c r="CC208" s="1">
        <f t="shared" si="224"/>
        <v>0</v>
      </c>
      <c r="CD208" s="1">
        <f t="shared" si="224"/>
        <v>0</v>
      </c>
      <c r="CE208" s="1">
        <f t="shared" si="224"/>
        <v>0</v>
      </c>
      <c r="CF208" s="1">
        <f t="shared" si="224"/>
        <v>0</v>
      </c>
      <c r="CG208" s="1">
        <f t="shared" si="224"/>
        <v>0</v>
      </c>
      <c r="CH208" s="1">
        <f t="shared" si="224"/>
        <v>0</v>
      </c>
      <c r="CI208" s="1">
        <f t="shared" si="224"/>
        <v>0</v>
      </c>
      <c r="CJ208" s="1">
        <f t="shared" si="224"/>
        <v>0</v>
      </c>
      <c r="CK208" s="1">
        <f t="shared" si="224"/>
        <v>0</v>
      </c>
      <c r="CL208" s="1">
        <f t="shared" si="224"/>
        <v>0</v>
      </c>
      <c r="CN208" s="1">
        <f t="shared" ref="CN208:DH208" si="225">+CN197-CN207</f>
        <v>0</v>
      </c>
      <c r="CO208" s="1">
        <f t="shared" si="225"/>
        <v>0</v>
      </c>
      <c r="CP208" s="1">
        <f t="shared" si="225"/>
        <v>0</v>
      </c>
      <c r="CQ208" s="1">
        <f t="shared" si="225"/>
        <v>0</v>
      </c>
      <c r="CR208" s="1">
        <f t="shared" si="225"/>
        <v>0</v>
      </c>
      <c r="CS208" s="1">
        <f t="shared" si="225"/>
        <v>0</v>
      </c>
      <c r="CT208" s="1">
        <f t="shared" si="225"/>
        <v>0</v>
      </c>
      <c r="CU208" s="1">
        <f t="shared" si="225"/>
        <v>0</v>
      </c>
      <c r="CV208" s="1">
        <f t="shared" si="225"/>
        <v>0</v>
      </c>
      <c r="CW208" s="1">
        <f t="shared" si="225"/>
        <v>0</v>
      </c>
      <c r="CX208" s="1">
        <f t="shared" si="225"/>
        <v>0</v>
      </c>
      <c r="CY208" s="1">
        <f t="shared" si="225"/>
        <v>0</v>
      </c>
      <c r="CZ208" s="1">
        <f t="shared" si="225"/>
        <v>0</v>
      </c>
      <c r="DA208" s="1">
        <f t="shared" si="225"/>
        <v>0</v>
      </c>
      <c r="DB208" s="1">
        <f t="shared" si="225"/>
        <v>0</v>
      </c>
      <c r="DC208" s="1">
        <f t="shared" si="225"/>
        <v>0</v>
      </c>
      <c r="DD208" s="1">
        <f t="shared" si="225"/>
        <v>0</v>
      </c>
      <c r="DE208" s="1">
        <f t="shared" si="225"/>
        <v>0</v>
      </c>
      <c r="DF208" s="1">
        <f t="shared" si="225"/>
        <v>0</v>
      </c>
      <c r="DG208" s="1">
        <f t="shared" si="225"/>
        <v>0</v>
      </c>
      <c r="DH208" s="1">
        <f t="shared" si="225"/>
        <v>0</v>
      </c>
      <c r="DI208" s="1"/>
      <c r="DJ208" s="1">
        <f t="shared" ref="DJ208:ED208" ca="1" si="226">+DJ197-DJ207</f>
        <v>0</v>
      </c>
      <c r="DK208" s="1">
        <f t="shared" si="226"/>
        <v>0</v>
      </c>
      <c r="DL208" s="1">
        <f t="shared" ca="1" si="226"/>
        <v>0</v>
      </c>
      <c r="DM208" s="1">
        <f t="shared" si="226"/>
        <v>0</v>
      </c>
      <c r="DN208" s="1">
        <f t="shared" si="226"/>
        <v>0</v>
      </c>
      <c r="DO208" s="1">
        <f t="shared" si="226"/>
        <v>0</v>
      </c>
      <c r="DP208" s="1">
        <f t="shared" si="226"/>
        <v>0</v>
      </c>
      <c r="DQ208" s="1">
        <f t="shared" si="226"/>
        <v>0</v>
      </c>
      <c r="DR208" s="1">
        <f t="shared" si="226"/>
        <v>0</v>
      </c>
      <c r="DS208" s="1">
        <f t="shared" si="226"/>
        <v>0</v>
      </c>
      <c r="DT208" s="1">
        <f t="shared" si="226"/>
        <v>0</v>
      </c>
      <c r="DU208" s="1">
        <f t="shared" si="226"/>
        <v>0</v>
      </c>
      <c r="DV208" s="1">
        <f t="shared" si="226"/>
        <v>0</v>
      </c>
      <c r="DW208" s="1">
        <f t="shared" si="226"/>
        <v>0</v>
      </c>
      <c r="DX208" s="1">
        <f t="shared" si="226"/>
        <v>0</v>
      </c>
      <c r="DY208" s="1">
        <f t="shared" si="226"/>
        <v>0</v>
      </c>
      <c r="DZ208" s="1">
        <f t="shared" si="226"/>
        <v>0</v>
      </c>
      <c r="EA208" s="1">
        <f t="shared" si="226"/>
        <v>0</v>
      </c>
      <c r="EB208" s="1">
        <f t="shared" si="226"/>
        <v>0</v>
      </c>
      <c r="EC208" s="1">
        <f t="shared" si="226"/>
        <v>0</v>
      </c>
      <c r="ED208" s="1">
        <f t="shared" si="226"/>
        <v>0</v>
      </c>
    </row>
    <row r="209" spans="4:134" x14ac:dyDescent="0.25">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f>+AV207+BR207</f>
        <v>25089093303</v>
      </c>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f ca="1">+CN207+DJ207</f>
        <v>25089093303</v>
      </c>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row>
    <row r="210" spans="4:134" x14ac:dyDescent="0.25">
      <c r="D210" s="1049"/>
      <c r="F210" s="1"/>
      <c r="G210" s="1"/>
      <c r="H210" s="1"/>
      <c r="I210" s="1"/>
      <c r="J210" s="1"/>
      <c r="K210" s="1"/>
      <c r="L210" s="1"/>
      <c r="M210" s="1"/>
      <c r="N210" s="1"/>
      <c r="O210" s="1"/>
      <c r="P210" s="1"/>
      <c r="Q210" s="1"/>
      <c r="R210" s="1"/>
      <c r="S210" s="1"/>
      <c r="T210" s="1"/>
      <c r="U210" s="1"/>
      <c r="V210" s="1"/>
      <c r="W210" s="1"/>
      <c r="X210" s="1"/>
      <c r="Y210" s="599"/>
      <c r="Z210" s="1"/>
      <c r="AA210" s="1"/>
      <c r="AB210" s="1"/>
      <c r="AC210" s="1"/>
      <c r="AD210" s="1"/>
      <c r="AE210" s="1"/>
      <c r="AF210" s="1"/>
      <c r="AG210" s="1"/>
      <c r="AH210" s="1"/>
      <c r="AI210" s="1"/>
      <c r="AJ210" s="1"/>
      <c r="AK210" s="1"/>
      <c r="AL210" s="1"/>
      <c r="AM210" s="1"/>
      <c r="AN210" s="1"/>
      <c r="AO210" s="1"/>
      <c r="AP210" s="1"/>
      <c r="AQ210" s="1"/>
      <c r="AR210" s="1"/>
      <c r="AS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N210" s="1"/>
      <c r="CO210" s="1"/>
      <c r="CP210" s="1"/>
      <c r="CQ210" s="1"/>
      <c r="CR210" s="1"/>
      <c r="CS210" s="1"/>
      <c r="CT210" s="1"/>
      <c r="CU210" s="1"/>
      <c r="CV210" s="1"/>
      <c r="CW210" s="1"/>
      <c r="CX210" s="1"/>
      <c r="CY210" s="1"/>
      <c r="CZ210" s="1"/>
      <c r="DA210" s="1"/>
      <c r="DB210" s="1"/>
      <c r="DC210" s="1"/>
      <c r="DD210" s="1"/>
      <c r="DE210" s="1"/>
      <c r="DF210" s="1"/>
      <c r="DG210" s="1"/>
      <c r="DH210" s="1"/>
      <c r="DJ210" s="1"/>
      <c r="DK210" s="1"/>
      <c r="DL210" s="1"/>
      <c r="DM210" s="1"/>
      <c r="DN210" s="1"/>
      <c r="DO210" s="1"/>
      <c r="DP210" s="1"/>
      <c r="DQ210" s="1"/>
      <c r="DR210" s="1"/>
      <c r="DS210" s="1"/>
      <c r="DT210" s="1"/>
      <c r="DU210" s="1"/>
      <c r="DV210" s="1"/>
      <c r="DW210" s="1"/>
      <c r="DX210" s="1"/>
      <c r="DY210" s="1"/>
      <c r="DZ210" s="1"/>
      <c r="EA210" s="1"/>
      <c r="EB210" s="1"/>
      <c r="EC210" s="1"/>
      <c r="ED210" s="1"/>
    </row>
    <row r="211" spans="4:134" x14ac:dyDescent="0.25">
      <c r="D211" s="495"/>
      <c r="Y211" s="597"/>
      <c r="Z211" s="1"/>
      <c r="AA211" s="1"/>
      <c r="AB211" s="1"/>
      <c r="AC211" s="1"/>
      <c r="AD211" s="1"/>
      <c r="AE211" s="964"/>
      <c r="AO211" s="1"/>
      <c r="AR211" s="1"/>
      <c r="AS211" s="1"/>
      <c r="AV211" s="1"/>
      <c r="AW211" s="1"/>
      <c r="AX211" s="1"/>
      <c r="AY211" s="1"/>
      <c r="CN211" s="1"/>
      <c r="CO211" s="1"/>
      <c r="DH211" s="1"/>
      <c r="DJ211" s="1"/>
      <c r="DK211" s="1"/>
    </row>
    <row r="212" spans="4:134" x14ac:dyDescent="0.25">
      <c r="D212" s="495"/>
      <c r="Y212" s="597"/>
      <c r="Z212" s="1"/>
      <c r="AA212" s="1"/>
      <c r="AB212" s="1"/>
      <c r="AC212" s="1"/>
      <c r="AD212" s="1"/>
      <c r="AS212" s="1"/>
      <c r="AV212" s="1">
        <f>+'[18]OCTUBRE 2015'!$G$2816</f>
        <v>1081065872</v>
      </c>
      <c r="AW212" s="1">
        <f>+AV212-AV203</f>
        <v>0</v>
      </c>
      <c r="CN212" s="1"/>
      <c r="DH212" s="1"/>
      <c r="DJ212" s="1"/>
      <c r="DK212" s="1"/>
    </row>
    <row r="213" spans="4:134" x14ac:dyDescent="0.25">
      <c r="D213" s="495"/>
      <c r="Y213" s="597"/>
      <c r="AA213" s="1"/>
      <c r="AN213" s="1"/>
      <c r="AV213" s="1"/>
    </row>
    <row r="214" spans="4:134" x14ac:dyDescent="0.25">
      <c r="D214" s="495"/>
      <c r="Y214" s="597"/>
      <c r="AN214" s="1"/>
      <c r="AV214" s="1"/>
      <c r="CN214" s="1"/>
    </row>
    <row r="215" spans="4:134" ht="1.5" customHeight="1" x14ac:dyDescent="0.25">
      <c r="D215" s="495"/>
      <c r="Y215" s="597"/>
      <c r="AA215" s="1"/>
      <c r="AC215" s="1"/>
    </row>
    <row r="216" spans="4:134" x14ac:dyDescent="0.25">
      <c r="D216" s="495"/>
      <c r="Y216" s="597"/>
      <c r="AC216" s="1"/>
    </row>
    <row r="217" spans="4:134" x14ac:dyDescent="0.25">
      <c r="AA217" s="1"/>
    </row>
  </sheetData>
  <mergeCells count="213">
    <mergeCell ref="C207:D207"/>
    <mergeCell ref="G192:G193"/>
    <mergeCell ref="J192:J193"/>
    <mergeCell ref="K192:K193"/>
    <mergeCell ref="L192:L193"/>
    <mergeCell ref="B195:D195"/>
    <mergeCell ref="C197:E197"/>
    <mergeCell ref="G186:G190"/>
    <mergeCell ref="J187:J188"/>
    <mergeCell ref="K187:K188"/>
    <mergeCell ref="L187:L188"/>
    <mergeCell ref="J189:J190"/>
    <mergeCell ref="K189:K190"/>
    <mergeCell ref="L189:L190"/>
    <mergeCell ref="J173:J176"/>
    <mergeCell ref="K173:K176"/>
    <mergeCell ref="L173:L176"/>
    <mergeCell ref="G177:G184"/>
    <mergeCell ref="J177:J184"/>
    <mergeCell ref="K177:K184"/>
    <mergeCell ref="L177:L184"/>
    <mergeCell ref="J167:J169"/>
    <mergeCell ref="K167:K169"/>
    <mergeCell ref="L167:L169"/>
    <mergeCell ref="J170:J172"/>
    <mergeCell ref="K170:K172"/>
    <mergeCell ref="L170:L172"/>
    <mergeCell ref="J161:J163"/>
    <mergeCell ref="K161:K163"/>
    <mergeCell ref="L161:L163"/>
    <mergeCell ref="J164:J166"/>
    <mergeCell ref="K164:K166"/>
    <mergeCell ref="L164:L166"/>
    <mergeCell ref="J155:J157"/>
    <mergeCell ref="K155:K157"/>
    <mergeCell ref="L155:L157"/>
    <mergeCell ref="J158:J160"/>
    <mergeCell ref="K158:K160"/>
    <mergeCell ref="L158:L160"/>
    <mergeCell ref="L150:L151"/>
    <mergeCell ref="J152:J154"/>
    <mergeCell ref="K152:K154"/>
    <mergeCell ref="L152:L154"/>
    <mergeCell ref="J145:J147"/>
    <mergeCell ref="K145:K147"/>
    <mergeCell ref="L145:L147"/>
    <mergeCell ref="J148:J149"/>
    <mergeCell ref="K148:K149"/>
    <mergeCell ref="L148:L149"/>
    <mergeCell ref="B129:F129"/>
    <mergeCell ref="A130:A194"/>
    <mergeCell ref="G130:G131"/>
    <mergeCell ref="G132:G176"/>
    <mergeCell ref="J139:J140"/>
    <mergeCell ref="K139:K140"/>
    <mergeCell ref="L139:L140"/>
    <mergeCell ref="M115:M117"/>
    <mergeCell ref="P115:P117"/>
    <mergeCell ref="M118:M121"/>
    <mergeCell ref="P118:P121"/>
    <mergeCell ref="M122:M123"/>
    <mergeCell ref="P122:P123"/>
    <mergeCell ref="J141:J142"/>
    <mergeCell ref="K141:K142"/>
    <mergeCell ref="L141:L142"/>
    <mergeCell ref="J143:J144"/>
    <mergeCell ref="K143:K144"/>
    <mergeCell ref="L143:L144"/>
    <mergeCell ref="M124:M125"/>
    <mergeCell ref="O124:O125"/>
    <mergeCell ref="P124:P125"/>
    <mergeCell ref="J150:J151"/>
    <mergeCell ref="K150:K151"/>
    <mergeCell ref="K107:K108"/>
    <mergeCell ref="L107:L108"/>
    <mergeCell ref="J111:J112"/>
    <mergeCell ref="K111:K112"/>
    <mergeCell ref="L111:L112"/>
    <mergeCell ref="J113:J114"/>
    <mergeCell ref="K113:K114"/>
    <mergeCell ref="L113:L114"/>
    <mergeCell ref="G99:G100"/>
    <mergeCell ref="G101:G103"/>
    <mergeCell ref="B104:F104"/>
    <mergeCell ref="A106:A128"/>
    <mergeCell ref="G106:G114"/>
    <mergeCell ref="J107:J108"/>
    <mergeCell ref="E115:E117"/>
    <mergeCell ref="F115:F117"/>
    <mergeCell ref="G124:G127"/>
    <mergeCell ref="G93:G94"/>
    <mergeCell ref="G95:G98"/>
    <mergeCell ref="J97:J98"/>
    <mergeCell ref="J81:J82"/>
    <mergeCell ref="K81:K82"/>
    <mergeCell ref="L81:L82"/>
    <mergeCell ref="K97:K98"/>
    <mergeCell ref="L97:L98"/>
    <mergeCell ref="B99:B100"/>
    <mergeCell ref="C99:C100"/>
    <mergeCell ref="D99:D100"/>
    <mergeCell ref="E99:E100"/>
    <mergeCell ref="F99:F100"/>
    <mergeCell ref="J87:J88"/>
    <mergeCell ref="K87:K88"/>
    <mergeCell ref="L87:L88"/>
    <mergeCell ref="G89:G92"/>
    <mergeCell ref="J89:J92"/>
    <mergeCell ref="K89:K92"/>
    <mergeCell ref="L89:L92"/>
    <mergeCell ref="G77:G88"/>
    <mergeCell ref="K58:K59"/>
    <mergeCell ref="L58:L59"/>
    <mergeCell ref="B67:E67"/>
    <mergeCell ref="A68:A103"/>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48:J49"/>
    <mergeCell ref="K48:K49"/>
    <mergeCell ref="L48:L49"/>
    <mergeCell ref="J50:J52"/>
    <mergeCell ref="K50:K52"/>
    <mergeCell ref="L50:L52"/>
    <mergeCell ref="B34:E34"/>
    <mergeCell ref="A35:A66"/>
    <mergeCell ref="G35:G37"/>
    <mergeCell ref="G38:G43"/>
    <mergeCell ref="G44:G47"/>
    <mergeCell ref="G48:G52"/>
    <mergeCell ref="G53:G55"/>
    <mergeCell ref="G61:G66"/>
    <mergeCell ref="J63:J64"/>
    <mergeCell ref="K63:K64"/>
    <mergeCell ref="L63:L64"/>
    <mergeCell ref="J65:J66"/>
    <mergeCell ref="K65:K66"/>
    <mergeCell ref="L65:L66"/>
    <mergeCell ref="J54:J55"/>
    <mergeCell ref="K54:K55"/>
    <mergeCell ref="L54:L55"/>
    <mergeCell ref="J58:J59"/>
    <mergeCell ref="G27:G29"/>
    <mergeCell ref="A4:A33"/>
    <mergeCell ref="G4:G9"/>
    <mergeCell ref="G56:G57"/>
    <mergeCell ref="G58:G59"/>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J4:J9"/>
    <mergeCell ref="K4:K9"/>
    <mergeCell ref="L4:L9"/>
    <mergeCell ref="G10:G16"/>
    <mergeCell ref="J10:J16"/>
    <mergeCell ref="K10:K16"/>
    <mergeCell ref="L10:L16"/>
    <mergeCell ref="G17:G21"/>
    <mergeCell ref="BT2:CC2"/>
    <mergeCell ref="BT1:CM1"/>
    <mergeCell ref="CN1:DH1"/>
    <mergeCell ref="DJ1:ED1"/>
    <mergeCell ref="A2:A3"/>
    <mergeCell ref="B2:B3"/>
    <mergeCell ref="C2:C3"/>
    <mergeCell ref="D2:D3"/>
    <mergeCell ref="E2:E3"/>
    <mergeCell ref="F2:F3"/>
    <mergeCell ref="C1:F1"/>
    <mergeCell ref="Y1:AS1"/>
    <mergeCell ref="AV1:BP1"/>
    <mergeCell ref="CD2:CL2"/>
    <mergeCell ref="CP2:CZ2"/>
    <mergeCell ref="DB2:DH2"/>
    <mergeCell ref="DJ2:DU2"/>
    <mergeCell ref="DV2:ED2"/>
    <mergeCell ref="M2:O2"/>
    <mergeCell ref="P2:R2"/>
    <mergeCell ref="S2:U2"/>
    <mergeCell ref="V2:X2"/>
    <mergeCell ref="Y2:AS2"/>
    <mergeCell ref="AV2:BP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OCTUBRE  2015
 RESOLUCION  221 DEL 20 DE OCTUBRE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J222"/>
  <sheetViews>
    <sheetView topLeftCell="C1" zoomScaleNormal="100" zoomScalePageLayoutView="50" workbookViewId="0">
      <pane xSplit="1" ySplit="3" topLeftCell="D189" activePane="bottomRight" state="frozen"/>
      <selection activeCell="C1" sqref="C1"/>
      <selection pane="topRight" activeCell="D1" sqref="D1"/>
      <selection pane="bottomLeft" activeCell="C4" sqref="C4"/>
      <selection pane="bottomRight" activeCell="Y208" sqref="Y208:EE210"/>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1.85546875" customWidth="1"/>
    <col min="48" max="48" width="14.4257812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customWidth="1"/>
    <col min="70" max="70" width="14.285156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6" width="11.42578125" customWidth="1"/>
    <col min="138" max="138" width="13.5703125" customWidth="1"/>
    <col min="139" max="139" width="11.42578125" customWidth="1"/>
  </cols>
  <sheetData>
    <row r="1" spans="1:134" ht="18" customHeight="1" x14ac:dyDescent="0.3">
      <c r="C1" s="1420"/>
      <c r="D1" s="1421"/>
      <c r="E1" s="1421"/>
      <c r="F1" s="1422"/>
      <c r="G1" s="1123"/>
      <c r="H1" s="1123"/>
      <c r="I1" s="1123"/>
      <c r="J1" s="1123"/>
      <c r="K1" s="1123"/>
      <c r="L1" s="1123"/>
      <c r="M1" s="1073"/>
      <c r="N1" s="1073"/>
      <c r="O1" s="1073"/>
      <c r="P1" s="1123"/>
      <c r="Q1" s="1123"/>
      <c r="R1" s="1123"/>
      <c r="S1" s="1123"/>
      <c r="T1" s="1123"/>
      <c r="U1" s="1123"/>
      <c r="V1" s="1123"/>
      <c r="W1" s="1123"/>
      <c r="X1" s="1123"/>
      <c r="Y1" s="1598" t="s">
        <v>3333</v>
      </c>
      <c r="Z1" s="1598" t="s">
        <v>3333</v>
      </c>
      <c r="AA1" s="1598" t="s">
        <v>3333</v>
      </c>
      <c r="AB1" s="1598" t="s">
        <v>3333</v>
      </c>
      <c r="AC1" s="1598" t="s">
        <v>3333</v>
      </c>
      <c r="AD1" s="1598" t="s">
        <v>3333</v>
      </c>
      <c r="AE1" s="1598" t="s">
        <v>3333</v>
      </c>
      <c r="AF1" s="1598" t="s">
        <v>3333</v>
      </c>
      <c r="AG1" s="1598" t="s">
        <v>3333</v>
      </c>
      <c r="AH1" s="1598" t="s">
        <v>3333</v>
      </c>
      <c r="AI1" s="1598" t="s">
        <v>3333</v>
      </c>
      <c r="AJ1" s="1598" t="s">
        <v>3333</v>
      </c>
      <c r="AK1" s="1598" t="s">
        <v>3333</v>
      </c>
      <c r="AL1" s="1598" t="s">
        <v>3333</v>
      </c>
      <c r="AM1" s="1598" t="s">
        <v>3333</v>
      </c>
      <c r="AN1" s="1598" t="s">
        <v>3333</v>
      </c>
      <c r="AO1" s="1598" t="s">
        <v>3333</v>
      </c>
      <c r="AP1" s="1598" t="s">
        <v>3333</v>
      </c>
      <c r="AQ1" s="1598" t="s">
        <v>3333</v>
      </c>
      <c r="AR1" s="1598" t="s">
        <v>3333</v>
      </c>
      <c r="AS1" s="1598" t="s">
        <v>3333</v>
      </c>
      <c r="AU1" s="1601" t="s">
        <v>4976</v>
      </c>
      <c r="AV1" s="1601"/>
      <c r="AW1" s="1601" t="s">
        <v>4976</v>
      </c>
      <c r="AX1" s="1601"/>
      <c r="AY1" s="1601" t="s">
        <v>4976</v>
      </c>
      <c r="AZ1" s="1601"/>
      <c r="BA1" s="1601" t="s">
        <v>4976</v>
      </c>
      <c r="BB1" s="1601"/>
      <c r="BC1" s="1601" t="s">
        <v>4976</v>
      </c>
      <c r="BD1" s="1601"/>
      <c r="BE1" s="1601" t="s">
        <v>4976</v>
      </c>
      <c r="BF1" s="1601"/>
      <c r="BG1" s="1601" t="s">
        <v>4976</v>
      </c>
      <c r="BH1" s="1601"/>
      <c r="BI1" s="1601" t="s">
        <v>4976</v>
      </c>
      <c r="BJ1" s="1601"/>
      <c r="BK1" s="1601" t="s">
        <v>4976</v>
      </c>
      <c r="BL1" s="1601"/>
      <c r="BM1" s="1601" t="s">
        <v>4976</v>
      </c>
      <c r="BN1" s="1601"/>
      <c r="BO1" s="1601" t="s">
        <v>4976</v>
      </c>
      <c r="BP1" s="1601"/>
      <c r="BQ1" s="1603" t="s">
        <v>4977</v>
      </c>
      <c r="BR1" s="1604"/>
      <c r="BS1" s="1014"/>
      <c r="BT1" s="1608" t="s">
        <v>3400</v>
      </c>
      <c r="BU1" s="1609"/>
      <c r="BV1" s="1609"/>
      <c r="BW1" s="1609"/>
      <c r="BX1" s="1609"/>
      <c r="BY1" s="1609"/>
      <c r="BZ1" s="1609"/>
      <c r="CA1" s="1609"/>
      <c r="CB1" s="1609"/>
      <c r="CC1" s="1609"/>
      <c r="CD1" s="1609"/>
      <c r="CE1" s="1609"/>
      <c r="CF1" s="1609"/>
      <c r="CG1" s="1609"/>
      <c r="CH1" s="1609"/>
      <c r="CI1" s="1609"/>
      <c r="CJ1" s="1609"/>
      <c r="CK1" s="1609"/>
      <c r="CL1" s="1609"/>
      <c r="CM1" s="1601" t="s">
        <v>4978</v>
      </c>
      <c r="CN1" s="1601"/>
      <c r="CO1" s="1609"/>
      <c r="CP1" s="1609"/>
      <c r="CQ1" s="1609"/>
      <c r="CR1" s="1609"/>
      <c r="CS1" s="1609"/>
      <c r="CT1" s="1609"/>
      <c r="CU1" s="1609"/>
      <c r="CV1" s="1609"/>
      <c r="CW1" s="1609"/>
      <c r="CX1" s="1609"/>
      <c r="CY1" s="1609"/>
      <c r="CZ1" s="1609"/>
      <c r="DA1" s="1609"/>
      <c r="DB1" s="1609"/>
      <c r="DC1" s="1609"/>
      <c r="DD1" s="1609"/>
      <c r="DE1" s="1609"/>
      <c r="DF1" s="1609"/>
      <c r="DG1" s="1609"/>
      <c r="DH1" s="1610"/>
      <c r="DI1" s="1615" t="s">
        <v>4979</v>
      </c>
      <c r="DJ1" s="1616"/>
      <c r="DK1" s="1615" t="s">
        <v>4979</v>
      </c>
      <c r="DL1" s="1616"/>
      <c r="DM1" s="1615" t="s">
        <v>4979</v>
      </c>
      <c r="DN1" s="1616"/>
      <c r="DO1" s="1615" t="s">
        <v>4979</v>
      </c>
      <c r="DP1" s="1616"/>
      <c r="DQ1" s="1615" t="s">
        <v>4979</v>
      </c>
      <c r="DR1" s="1616"/>
      <c r="DS1" s="1615" t="s">
        <v>4979</v>
      </c>
      <c r="DT1" s="1616"/>
      <c r="DU1" s="1615" t="s">
        <v>4979</v>
      </c>
      <c r="DV1" s="1616"/>
      <c r="DW1" s="1615" t="s">
        <v>4979</v>
      </c>
      <c r="DX1" s="1616"/>
      <c r="DY1" s="1615" t="s">
        <v>4979</v>
      </c>
      <c r="DZ1" s="1616"/>
      <c r="EA1" s="1615" t="s">
        <v>4979</v>
      </c>
      <c r="EB1" s="1616"/>
      <c r="EC1" s="1615" t="s">
        <v>4979</v>
      </c>
      <c r="ED1" s="1616"/>
    </row>
    <row r="2" spans="1:134" ht="15.6" customHeight="1" x14ac:dyDescent="0.25">
      <c r="A2" s="1568" t="s">
        <v>4747</v>
      </c>
      <c r="B2" s="1566" t="s">
        <v>3139</v>
      </c>
      <c r="C2" s="1569" t="s">
        <v>1</v>
      </c>
      <c r="D2" s="1568" t="s">
        <v>4174</v>
      </c>
      <c r="E2" s="1571" t="s">
        <v>447</v>
      </c>
      <c r="F2" s="1566" t="s">
        <v>3347</v>
      </c>
      <c r="G2" s="1062"/>
      <c r="H2" s="1062"/>
      <c r="I2" s="1062"/>
      <c r="J2" s="1062"/>
      <c r="K2" s="1062"/>
      <c r="L2" s="1062"/>
      <c r="M2" s="1574" t="s">
        <v>4821</v>
      </c>
      <c r="N2" s="1574"/>
      <c r="O2" s="1574"/>
      <c r="P2" s="1574" t="s">
        <v>4822</v>
      </c>
      <c r="Q2" s="1574"/>
      <c r="R2" s="1574"/>
      <c r="S2" s="1574" t="s">
        <v>4823</v>
      </c>
      <c r="T2" s="1574"/>
      <c r="U2" s="1574"/>
      <c r="V2" s="1574" t="s">
        <v>4824</v>
      </c>
      <c r="W2" s="1574"/>
      <c r="X2" s="1574"/>
      <c r="Y2" s="1599"/>
      <c r="Z2" s="1599"/>
      <c r="AA2" s="1599"/>
      <c r="AB2" s="1599"/>
      <c r="AC2" s="1599"/>
      <c r="AD2" s="1599"/>
      <c r="AE2" s="1599"/>
      <c r="AF2" s="1599"/>
      <c r="AG2" s="1599"/>
      <c r="AH2" s="1599"/>
      <c r="AI2" s="1599"/>
      <c r="AJ2" s="1599"/>
      <c r="AK2" s="1599"/>
      <c r="AL2" s="1599"/>
      <c r="AM2" s="1599"/>
      <c r="AN2" s="1599"/>
      <c r="AO2" s="1599"/>
      <c r="AP2" s="1599"/>
      <c r="AQ2" s="1599"/>
      <c r="AR2" s="1599"/>
      <c r="AS2" s="1599"/>
      <c r="AU2" s="1601"/>
      <c r="AV2" s="1601"/>
      <c r="AW2" s="1601"/>
      <c r="AX2" s="1601"/>
      <c r="AY2" s="1601"/>
      <c r="AZ2" s="1601"/>
      <c r="BA2" s="1601"/>
      <c r="BB2" s="1601"/>
      <c r="BC2" s="1601"/>
      <c r="BD2" s="1601"/>
      <c r="BE2" s="1601"/>
      <c r="BF2" s="1601"/>
      <c r="BG2" s="1601"/>
      <c r="BH2" s="1601"/>
      <c r="BI2" s="1601"/>
      <c r="BJ2" s="1601"/>
      <c r="BK2" s="1601"/>
      <c r="BL2" s="1601"/>
      <c r="BM2" s="1601"/>
      <c r="BN2" s="1601"/>
      <c r="BO2" s="1601"/>
      <c r="BP2" s="1601"/>
      <c r="BQ2" s="1605"/>
      <c r="BR2" s="1606"/>
      <c r="BS2" s="1015"/>
      <c r="BT2" s="1015" t="s">
        <v>3402</v>
      </c>
      <c r="BU2" s="1611"/>
      <c r="BV2" s="1611"/>
      <c r="BW2" s="1611"/>
      <c r="BX2" s="1611"/>
      <c r="BY2" s="1611"/>
      <c r="BZ2" s="1611"/>
      <c r="CA2" s="1611"/>
      <c r="CB2" s="1611"/>
      <c r="CC2" s="1612"/>
      <c r="CD2" s="1015" t="s">
        <v>3402</v>
      </c>
      <c r="CE2" s="1611"/>
      <c r="CF2" s="1611"/>
      <c r="CG2" s="1611"/>
      <c r="CH2" s="1611"/>
      <c r="CI2" s="1611"/>
      <c r="CJ2" s="1611"/>
      <c r="CK2" s="1611"/>
      <c r="CL2" s="1612"/>
      <c r="CM2" s="1601"/>
      <c r="CN2" s="1601"/>
      <c r="CO2" s="1016"/>
      <c r="CP2" s="1613" t="s">
        <v>3401</v>
      </c>
      <c r="CQ2" s="967"/>
      <c r="CR2" s="967"/>
      <c r="CS2" s="967"/>
      <c r="CT2" s="967"/>
      <c r="CU2" s="967"/>
      <c r="CV2" s="967"/>
      <c r="CW2" s="967"/>
      <c r="CX2" s="967"/>
      <c r="CY2" s="967"/>
      <c r="CZ2" s="967"/>
      <c r="DA2" s="967"/>
      <c r="DB2" s="1613" t="s">
        <v>3401</v>
      </c>
      <c r="DC2" s="967"/>
      <c r="DD2" s="967"/>
      <c r="DE2" s="967"/>
      <c r="DF2" s="967"/>
      <c r="DG2" s="967"/>
      <c r="DH2" s="1614"/>
      <c r="DI2" s="1617"/>
      <c r="DJ2" s="1618"/>
      <c r="DK2" s="1617"/>
      <c r="DL2" s="1618"/>
      <c r="DM2" s="1617"/>
      <c r="DN2" s="1618"/>
      <c r="DO2" s="1617"/>
      <c r="DP2" s="1618"/>
      <c r="DQ2" s="1617"/>
      <c r="DR2" s="1618"/>
      <c r="DS2" s="1617"/>
      <c r="DT2" s="1618"/>
      <c r="DU2" s="1617"/>
      <c r="DV2" s="1618"/>
      <c r="DW2" s="1617"/>
      <c r="DX2" s="1618"/>
      <c r="DY2" s="1617"/>
      <c r="DZ2" s="1618"/>
      <c r="EA2" s="1617"/>
      <c r="EB2" s="1618"/>
      <c r="EC2" s="1617"/>
      <c r="ED2" s="1618"/>
    </row>
    <row r="3" spans="1:134" ht="43.5" customHeight="1" x14ac:dyDescent="0.25">
      <c r="A3" s="1568"/>
      <c r="B3" s="1567"/>
      <c r="C3" s="1570"/>
      <c r="D3" s="1568"/>
      <c r="E3" s="1572"/>
      <c r="F3" s="1567"/>
      <c r="G3" s="1063" t="s">
        <v>4761</v>
      </c>
      <c r="H3" s="1063" t="s">
        <v>3401</v>
      </c>
      <c r="I3" s="1063" t="s">
        <v>4748</v>
      </c>
      <c r="J3" s="1063" t="s">
        <v>4749</v>
      </c>
      <c r="K3" s="1136" t="s">
        <v>4754</v>
      </c>
      <c r="L3" s="1136" t="s">
        <v>4750</v>
      </c>
      <c r="M3" s="1136" t="s">
        <v>4045</v>
      </c>
      <c r="N3" s="1136" t="s">
        <v>4048</v>
      </c>
      <c r="O3" s="1136" t="s">
        <v>4050</v>
      </c>
      <c r="P3" s="1136" t="s">
        <v>4045</v>
      </c>
      <c r="Q3" s="1136" t="s">
        <v>4048</v>
      </c>
      <c r="R3" s="1136" t="s">
        <v>4050</v>
      </c>
      <c r="S3" s="1063" t="s">
        <v>4045</v>
      </c>
      <c r="T3" s="1063" t="s">
        <v>4048</v>
      </c>
      <c r="U3" s="1063" t="s">
        <v>4050</v>
      </c>
      <c r="V3" s="1063" t="s">
        <v>4045</v>
      </c>
      <c r="W3" s="1063" t="s">
        <v>4048</v>
      </c>
      <c r="X3" s="1063" t="s">
        <v>4050</v>
      </c>
      <c r="Y3" s="1600"/>
      <c r="Z3" s="1600"/>
      <c r="AA3" s="1600"/>
      <c r="AB3" s="1600"/>
      <c r="AC3" s="1600"/>
      <c r="AD3" s="1600"/>
      <c r="AE3" s="1600"/>
      <c r="AF3" s="1600"/>
      <c r="AG3" s="1600"/>
      <c r="AH3" s="1600"/>
      <c r="AI3" s="1600"/>
      <c r="AJ3" s="1600"/>
      <c r="AK3" s="1600"/>
      <c r="AL3" s="1600"/>
      <c r="AM3" s="1600"/>
      <c r="AN3" s="1600"/>
      <c r="AO3" s="1600"/>
      <c r="AP3" s="1600"/>
      <c r="AQ3" s="1600"/>
      <c r="AR3" s="1600"/>
      <c r="AS3" s="1600"/>
      <c r="AU3" s="1602" t="s">
        <v>4293</v>
      </c>
      <c r="AV3" s="1602" t="s">
        <v>433</v>
      </c>
      <c r="AW3" s="1602" t="s">
        <v>4293</v>
      </c>
      <c r="AX3" s="1602" t="s">
        <v>433</v>
      </c>
      <c r="AY3" s="1602" t="s">
        <v>4293</v>
      </c>
      <c r="AZ3" s="1602" t="s">
        <v>433</v>
      </c>
      <c r="BA3" s="1602" t="s">
        <v>4293</v>
      </c>
      <c r="BB3" s="1602" t="s">
        <v>433</v>
      </c>
      <c r="BC3" s="1602" t="s">
        <v>4293</v>
      </c>
      <c r="BD3" s="1602" t="s">
        <v>433</v>
      </c>
      <c r="BE3" s="1602" t="s">
        <v>4293</v>
      </c>
      <c r="BF3" s="1602" t="s">
        <v>433</v>
      </c>
      <c r="BG3" s="1602" t="s">
        <v>4293</v>
      </c>
      <c r="BH3" s="1602" t="s">
        <v>433</v>
      </c>
      <c r="BI3" s="1602" t="s">
        <v>4293</v>
      </c>
      <c r="BJ3" s="1602" t="s">
        <v>433</v>
      </c>
      <c r="BK3" s="1602" t="s">
        <v>4293</v>
      </c>
      <c r="BL3" s="1602" t="s">
        <v>433</v>
      </c>
      <c r="BM3" s="1602" t="s">
        <v>4293</v>
      </c>
      <c r="BN3" s="1602" t="s">
        <v>433</v>
      </c>
      <c r="BO3" s="1602" t="s">
        <v>4293</v>
      </c>
      <c r="BP3" s="1602" t="s">
        <v>433</v>
      </c>
      <c r="BQ3" s="1607" t="s">
        <v>4293</v>
      </c>
      <c r="BR3" s="1607" t="s">
        <v>433</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v>
      </c>
      <c r="CI3" s="982" t="s">
        <v>3318</v>
      </c>
      <c r="CJ3" s="982" t="s">
        <v>4707</v>
      </c>
      <c r="CK3" s="982" t="s">
        <v>4294</v>
      </c>
      <c r="CL3" s="982" t="s">
        <v>3319</v>
      </c>
      <c r="CM3" s="1602" t="s">
        <v>4293</v>
      </c>
      <c r="CN3" s="1602" t="s">
        <v>433</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v>
      </c>
      <c r="DE3" s="965" t="s">
        <v>3318</v>
      </c>
      <c r="DF3" s="965" t="s">
        <v>4707</v>
      </c>
      <c r="DG3" s="965" t="s">
        <v>4294</v>
      </c>
      <c r="DH3" s="965" t="s">
        <v>3319</v>
      </c>
      <c r="DI3" s="1607" t="s">
        <v>4293</v>
      </c>
      <c r="DJ3" s="1607" t="s">
        <v>433</v>
      </c>
      <c r="DK3" s="1607" t="s">
        <v>4293</v>
      </c>
      <c r="DL3" s="1607" t="s">
        <v>433</v>
      </c>
      <c r="DM3" s="1607" t="s">
        <v>4293</v>
      </c>
      <c r="DN3" s="1607" t="s">
        <v>433</v>
      </c>
      <c r="DO3" s="1607" t="s">
        <v>4293</v>
      </c>
      <c r="DP3" s="1607" t="s">
        <v>433</v>
      </c>
      <c r="DQ3" s="1607" t="s">
        <v>4293</v>
      </c>
      <c r="DR3" s="1607" t="s">
        <v>433</v>
      </c>
      <c r="DS3" s="1607" t="s">
        <v>4293</v>
      </c>
      <c r="DT3" s="1607" t="s">
        <v>433</v>
      </c>
      <c r="DU3" s="1607" t="s">
        <v>4293</v>
      </c>
      <c r="DV3" s="1607" t="s">
        <v>433</v>
      </c>
      <c r="DW3" s="1607" t="s">
        <v>4293</v>
      </c>
      <c r="DX3" s="1607" t="s">
        <v>433</v>
      </c>
      <c r="DY3" s="1607" t="s">
        <v>4293</v>
      </c>
      <c r="DZ3" s="1607" t="s">
        <v>433</v>
      </c>
      <c r="EA3" s="1607" t="s">
        <v>4293</v>
      </c>
      <c r="EB3" s="1607" t="s">
        <v>433</v>
      </c>
      <c r="EC3" s="1607" t="s">
        <v>4293</v>
      </c>
      <c r="ED3" s="1607" t="s">
        <v>433</v>
      </c>
    </row>
    <row r="4" spans="1:134" ht="64.5" customHeight="1" x14ac:dyDescent="0.25">
      <c r="A4" s="1561" t="s">
        <v>4751</v>
      </c>
      <c r="B4" s="1018" t="s">
        <v>4298</v>
      </c>
      <c r="C4" s="1116" t="s">
        <v>4397</v>
      </c>
      <c r="D4" s="1019" t="s">
        <v>4562</v>
      </c>
      <c r="E4" s="1020">
        <v>510</v>
      </c>
      <c r="F4" s="1120" t="s">
        <v>4660</v>
      </c>
      <c r="G4" s="1399">
        <v>100000000</v>
      </c>
      <c r="H4" s="1061">
        <f t="shared" ref="H4:H33" si="0">+CN4</f>
        <v>6000000</v>
      </c>
      <c r="I4" s="1061">
        <f t="shared" ref="I4:I33" si="1">Y4-H4</f>
        <v>9000000</v>
      </c>
      <c r="J4" s="1399" t="s">
        <v>4758</v>
      </c>
      <c r="K4" s="1283" t="s">
        <v>4753</v>
      </c>
      <c r="L4" s="1283" t="s">
        <v>4759</v>
      </c>
      <c r="M4" s="1115">
        <v>14</v>
      </c>
      <c r="N4" s="1115">
        <v>43</v>
      </c>
      <c r="O4" s="1115">
        <v>6</v>
      </c>
      <c r="P4" s="1115">
        <v>0</v>
      </c>
      <c r="Q4" s="1115">
        <v>68</v>
      </c>
      <c r="R4" s="1115">
        <v>0</v>
      </c>
      <c r="S4" s="1120"/>
      <c r="T4" s="1120"/>
      <c r="U4" s="1120"/>
      <c r="V4" s="1070"/>
      <c r="W4" s="1070"/>
      <c r="X4" s="1070"/>
      <c r="Y4" s="1008">
        <f t="shared" ref="Y4:Y33" si="2">SUM(Z4:AS4)</f>
        <v>15000000</v>
      </c>
      <c r="Z4" s="1008"/>
      <c r="AA4" s="1008"/>
      <c r="AB4" s="1008"/>
      <c r="AC4" s="1008"/>
      <c r="AD4" s="1008"/>
      <c r="AE4" s="1008"/>
      <c r="AF4" s="1008"/>
      <c r="AG4" s="1008"/>
      <c r="AH4" s="1008"/>
      <c r="AI4" s="1008"/>
      <c r="AJ4" s="1008"/>
      <c r="AK4" s="1008"/>
      <c r="AL4" s="1008"/>
      <c r="AM4" s="1008">
        <v>15000000</v>
      </c>
      <c r="AN4" s="1008"/>
      <c r="AO4" s="1008"/>
      <c r="AP4" s="1008"/>
      <c r="AQ4" s="1008"/>
      <c r="AR4" s="1008"/>
      <c r="AS4" s="1008"/>
      <c r="AT4" s="983"/>
      <c r="AU4" s="1011">
        <f t="shared" ref="AU4:AU67" si="3">+AV4/Y4</f>
        <v>0.4</v>
      </c>
      <c r="AV4" s="1008">
        <f t="shared" ref="AV4:AV33" si="4">SUM(AW4:BP4)</f>
        <v>6000000</v>
      </c>
      <c r="AW4" s="1013"/>
      <c r="AX4" s="218"/>
      <c r="AY4" s="218"/>
      <c r="AZ4" s="218"/>
      <c r="BA4" s="218"/>
      <c r="BB4" s="149"/>
      <c r="BC4" s="149"/>
      <c r="BD4" s="149"/>
      <c r="BE4" s="149"/>
      <c r="BF4" s="149"/>
      <c r="BG4" s="149"/>
      <c r="BH4" s="149"/>
      <c r="BI4" s="149"/>
      <c r="BJ4" s="149">
        <f>+'[16]AGOSTO 2015'!$W$1944</f>
        <v>6000000</v>
      </c>
      <c r="BK4" s="149"/>
      <c r="BL4" s="149"/>
      <c r="BM4" s="149"/>
      <c r="BN4" s="149"/>
      <c r="BO4" s="149"/>
      <c r="BP4" s="149"/>
      <c r="BQ4" s="1011">
        <f t="shared" ref="BQ4:BQ20" si="5">1-AU4</f>
        <v>0.6</v>
      </c>
      <c r="BR4" s="1008">
        <f t="shared" ref="BR4:BR33" si="6">SUM(BS4:CL4)</f>
        <v>9000000</v>
      </c>
      <c r="BS4" s="1008">
        <f t="shared" ref="BS4:BS33" si="7">+Z4-AW4</f>
        <v>0</v>
      </c>
      <c r="BT4" s="1008">
        <f t="shared" ref="BT4:BT18" si="8">+AA4</f>
        <v>0</v>
      </c>
      <c r="BU4" s="1008"/>
      <c r="BV4" s="1008">
        <f t="shared" ref="BV4:BV33" si="9">AC4-AZ4</f>
        <v>0</v>
      </c>
      <c r="BW4" s="1008"/>
      <c r="BX4" s="1008">
        <f t="shared" ref="BX4:BY33" si="10">+AE4-BB4</f>
        <v>0</v>
      </c>
      <c r="BY4" s="1008">
        <f t="shared" si="10"/>
        <v>0</v>
      </c>
      <c r="BZ4" s="1008"/>
      <c r="CA4" s="1008">
        <f t="shared" ref="CA4:CJ19" si="11">+AH4-BE4</f>
        <v>0</v>
      </c>
      <c r="CB4" s="1008">
        <f t="shared" si="11"/>
        <v>0</v>
      </c>
      <c r="CC4" s="1008">
        <f t="shared" si="11"/>
        <v>0</v>
      </c>
      <c r="CD4" s="1008">
        <f t="shared" si="11"/>
        <v>0</v>
      </c>
      <c r="CE4" s="1008">
        <f t="shared" si="11"/>
        <v>0</v>
      </c>
      <c r="CF4" s="1008">
        <f t="shared" si="11"/>
        <v>9000000</v>
      </c>
      <c r="CG4" s="1008">
        <f t="shared" si="11"/>
        <v>0</v>
      </c>
      <c r="CH4" s="1008">
        <f t="shared" si="11"/>
        <v>0</v>
      </c>
      <c r="CI4" s="1008">
        <f t="shared" si="11"/>
        <v>0</v>
      </c>
      <c r="CJ4" s="1008">
        <f t="shared" si="11"/>
        <v>0</v>
      </c>
      <c r="CK4" s="1008"/>
      <c r="CL4" s="1008">
        <f t="shared" ref="CL4:CL33" si="12">+AS4-BP4</f>
        <v>0</v>
      </c>
      <c r="CM4" s="1011">
        <f t="shared" ref="CM4:CM67" si="13">+CN4/Y4</f>
        <v>0.4</v>
      </c>
      <c r="CN4" s="1008">
        <f t="shared" ref="CN4:CN33" si="14">SUM(CO4:DH4)</f>
        <v>6000000</v>
      </c>
      <c r="CO4" s="1008"/>
      <c r="CP4" s="1008"/>
      <c r="CQ4" s="1008"/>
      <c r="CR4" s="1008"/>
      <c r="CS4" s="1008"/>
      <c r="CT4" s="1008"/>
      <c r="CU4" s="1008"/>
      <c r="CV4" s="1008"/>
      <c r="CW4" s="1008"/>
      <c r="CX4" s="1008"/>
      <c r="CY4" s="1008"/>
      <c r="CZ4" s="1008"/>
      <c r="DA4" s="1008"/>
      <c r="DB4" s="1008">
        <f>+'[16]AGOSTO 2015'!$H$1942</f>
        <v>6000000</v>
      </c>
      <c r="DC4" s="1008"/>
      <c r="DD4" s="1008"/>
      <c r="DE4" s="1008"/>
      <c r="DF4" s="1008"/>
      <c r="DG4" s="1008"/>
      <c r="DH4" s="1008"/>
      <c r="DI4" s="1011">
        <f t="shared" ref="DI4:DI66" si="15">1-CM4</f>
        <v>0.6</v>
      </c>
      <c r="DJ4" s="1008">
        <f t="shared" ref="DJ4:DJ33" si="16">SUM(DK4:ED4)</f>
        <v>9000000</v>
      </c>
      <c r="DK4" s="1008">
        <f t="shared" ref="DK4:DL33" si="17">Z4-CO4</f>
        <v>0</v>
      </c>
      <c r="DL4" s="1008">
        <f t="shared" si="17"/>
        <v>0</v>
      </c>
      <c r="DM4" s="1008"/>
      <c r="DN4" s="1008">
        <f t="shared" ref="DN4:DQ32" si="18">AC4-CR4</f>
        <v>0</v>
      </c>
      <c r="DO4" s="1008">
        <f t="shared" si="18"/>
        <v>0</v>
      </c>
      <c r="DP4" s="1008">
        <f t="shared" si="18"/>
        <v>0</v>
      </c>
      <c r="DQ4" s="1008">
        <f t="shared" si="18"/>
        <v>0</v>
      </c>
      <c r="DR4" s="1008"/>
      <c r="DS4" s="1008">
        <f t="shared" ref="DS4:DT33" si="19">+AH4-CW4</f>
        <v>0</v>
      </c>
      <c r="DT4" s="1008">
        <f t="shared" si="19"/>
        <v>0</v>
      </c>
      <c r="DU4" s="1008"/>
      <c r="DV4" s="1008">
        <f t="shared" ref="DV4:DX33" si="20">AK4-CZ4</f>
        <v>0</v>
      </c>
      <c r="DW4" s="1008">
        <f t="shared" si="20"/>
        <v>0</v>
      </c>
      <c r="DX4" s="1008">
        <f t="shared" si="20"/>
        <v>9000000</v>
      </c>
      <c r="DY4" s="1008">
        <f t="shared" ref="DY4:EB33" si="21">+AN4-DC4</f>
        <v>0</v>
      </c>
      <c r="DZ4" s="1008">
        <f t="shared" si="21"/>
        <v>0</v>
      </c>
      <c r="EA4" s="1008">
        <f t="shared" si="21"/>
        <v>0</v>
      </c>
      <c r="EB4" s="1008">
        <f t="shared" si="21"/>
        <v>0</v>
      </c>
      <c r="EC4" s="1008"/>
      <c r="ED4" s="1008">
        <f t="shared" ref="ED4:ED33" si="22">+AS4-DH4</f>
        <v>0</v>
      </c>
    </row>
    <row r="5" spans="1:134" ht="65.25" customHeight="1" x14ac:dyDescent="0.25">
      <c r="A5" s="1562"/>
      <c r="B5" s="1021"/>
      <c r="C5" s="1116" t="s">
        <v>4557</v>
      </c>
      <c r="D5" s="1019" t="s">
        <v>4656</v>
      </c>
      <c r="E5" s="1020">
        <v>510</v>
      </c>
      <c r="F5" s="1120" t="s">
        <v>4660</v>
      </c>
      <c r="G5" s="1400"/>
      <c r="H5" s="1061">
        <f t="shared" si="0"/>
        <v>0</v>
      </c>
      <c r="I5" s="1061">
        <f t="shared" si="1"/>
        <v>10000000</v>
      </c>
      <c r="J5" s="1400"/>
      <c r="K5" s="1573"/>
      <c r="L5" s="1573"/>
      <c r="M5" s="1115">
        <v>0</v>
      </c>
      <c r="N5" s="1115">
        <v>0</v>
      </c>
      <c r="O5" s="1115">
        <v>0</v>
      </c>
      <c r="P5" s="1115">
        <v>0</v>
      </c>
      <c r="Q5" s="1115">
        <v>25</v>
      </c>
      <c r="R5" s="1115">
        <v>0</v>
      </c>
      <c r="S5" s="1120"/>
      <c r="T5" s="1120"/>
      <c r="U5" s="1120"/>
      <c r="V5" s="1120"/>
      <c r="W5" s="1120"/>
      <c r="X5" s="1120"/>
      <c r="Y5" s="1008">
        <f t="shared" si="2"/>
        <v>10000000</v>
      </c>
      <c r="Z5" s="1008"/>
      <c r="AA5" s="1008"/>
      <c r="AB5" s="1008"/>
      <c r="AC5" s="1008"/>
      <c r="AD5" s="1008"/>
      <c r="AE5" s="1008"/>
      <c r="AF5" s="1008"/>
      <c r="AG5" s="1008"/>
      <c r="AH5" s="1008"/>
      <c r="AI5" s="1008"/>
      <c r="AJ5" s="1008"/>
      <c r="AK5" s="1008"/>
      <c r="AL5" s="1008"/>
      <c r="AM5" s="1008">
        <v>10000000</v>
      </c>
      <c r="AN5" s="1008"/>
      <c r="AO5" s="1008"/>
      <c r="AP5" s="1008"/>
      <c r="AQ5" s="1008"/>
      <c r="AR5" s="1008"/>
      <c r="AS5" s="1008"/>
      <c r="AT5" s="986"/>
      <c r="AU5" s="1011">
        <f t="shared" si="3"/>
        <v>0</v>
      </c>
      <c r="AV5" s="1008">
        <f t="shared" si="4"/>
        <v>0</v>
      </c>
      <c r="AW5" s="1008"/>
      <c r="AX5" s="1008"/>
      <c r="AY5" s="1008"/>
      <c r="AZ5" s="1008"/>
      <c r="BA5" s="1008"/>
      <c r="BB5" s="1008"/>
      <c r="BC5" s="1008"/>
      <c r="BD5" s="1008"/>
      <c r="BE5" s="1008"/>
      <c r="BF5" s="1008"/>
      <c r="BG5" s="1008"/>
      <c r="BH5" s="1008"/>
      <c r="BI5" s="1008"/>
      <c r="BJ5" s="1008"/>
      <c r="BK5" s="1008"/>
      <c r="BL5" s="1008"/>
      <c r="BM5" s="1008"/>
      <c r="BN5" s="1008"/>
      <c r="BO5" s="1008"/>
      <c r="BP5" s="1008"/>
      <c r="BQ5" s="1011">
        <f t="shared" si="5"/>
        <v>1</v>
      </c>
      <c r="BR5" s="1008">
        <f t="shared" si="6"/>
        <v>10000000</v>
      </c>
      <c r="BS5" s="1008">
        <f t="shared" si="7"/>
        <v>0</v>
      </c>
      <c r="BT5" s="1008">
        <f t="shared" si="8"/>
        <v>0</v>
      </c>
      <c r="BU5" s="1008"/>
      <c r="BV5" s="1008">
        <f t="shared" si="9"/>
        <v>0</v>
      </c>
      <c r="BW5" s="1008"/>
      <c r="BX5" s="1008">
        <f t="shared" si="10"/>
        <v>0</v>
      </c>
      <c r="BY5" s="1008">
        <f t="shared" si="10"/>
        <v>0</v>
      </c>
      <c r="BZ5" s="1008"/>
      <c r="CA5" s="1008"/>
      <c r="CB5" s="1008"/>
      <c r="CC5" s="1008"/>
      <c r="CD5" s="1008">
        <f t="shared" si="11"/>
        <v>0</v>
      </c>
      <c r="CE5" s="1008">
        <f t="shared" si="11"/>
        <v>0</v>
      </c>
      <c r="CF5" s="1008">
        <f t="shared" si="11"/>
        <v>10000000</v>
      </c>
      <c r="CG5" s="1008">
        <f t="shared" si="11"/>
        <v>0</v>
      </c>
      <c r="CH5" s="1008">
        <f t="shared" si="11"/>
        <v>0</v>
      </c>
      <c r="CI5" s="1008">
        <f t="shared" si="11"/>
        <v>0</v>
      </c>
      <c r="CJ5" s="1008"/>
      <c r="CK5" s="1008"/>
      <c r="CL5" s="1008">
        <f t="shared" si="12"/>
        <v>0</v>
      </c>
      <c r="CM5" s="1011">
        <f t="shared" si="13"/>
        <v>0</v>
      </c>
      <c r="CN5" s="1008">
        <f t="shared" si="14"/>
        <v>0</v>
      </c>
      <c r="CO5" s="1008"/>
      <c r="CP5" s="1008"/>
      <c r="CQ5" s="1008"/>
      <c r="CR5" s="1008"/>
      <c r="CS5" s="1008"/>
      <c r="CT5" s="1008"/>
      <c r="CU5" s="1008"/>
      <c r="CV5" s="1008"/>
      <c r="CW5" s="1008"/>
      <c r="CX5" s="1008"/>
      <c r="CY5" s="1008"/>
      <c r="CZ5" s="1008"/>
      <c r="DA5" s="1008"/>
      <c r="DB5" s="1008"/>
      <c r="DC5" s="1008"/>
      <c r="DD5" s="1008"/>
      <c r="DE5" s="1008"/>
      <c r="DF5" s="1008"/>
      <c r="DG5" s="1008"/>
      <c r="DH5" s="1008"/>
      <c r="DI5" s="1011">
        <f t="shared" si="15"/>
        <v>1</v>
      </c>
      <c r="DJ5" s="1008">
        <f t="shared" si="16"/>
        <v>10000000</v>
      </c>
      <c r="DK5" s="1008">
        <f t="shared" si="17"/>
        <v>0</v>
      </c>
      <c r="DL5" s="1008">
        <f t="shared" si="17"/>
        <v>0</v>
      </c>
      <c r="DM5" s="1008"/>
      <c r="DN5" s="1008">
        <f t="shared" si="18"/>
        <v>0</v>
      </c>
      <c r="DO5" s="1008">
        <f t="shared" si="18"/>
        <v>0</v>
      </c>
      <c r="DP5" s="1008">
        <f t="shared" si="18"/>
        <v>0</v>
      </c>
      <c r="DQ5" s="1008">
        <f t="shared" si="18"/>
        <v>0</v>
      </c>
      <c r="DR5" s="1008"/>
      <c r="DS5" s="1008">
        <f t="shared" si="19"/>
        <v>0</v>
      </c>
      <c r="DT5" s="1008">
        <f t="shared" si="19"/>
        <v>0</v>
      </c>
      <c r="DU5" s="1008"/>
      <c r="DV5" s="1008">
        <f t="shared" si="20"/>
        <v>0</v>
      </c>
      <c r="DW5" s="1008">
        <f t="shared" si="20"/>
        <v>0</v>
      </c>
      <c r="DX5" s="1008">
        <f t="shared" si="20"/>
        <v>10000000</v>
      </c>
      <c r="DY5" s="1008">
        <f t="shared" si="21"/>
        <v>0</v>
      </c>
      <c r="DZ5" s="1008">
        <f t="shared" si="21"/>
        <v>0</v>
      </c>
      <c r="EA5" s="1008">
        <f t="shared" si="21"/>
        <v>0</v>
      </c>
      <c r="EB5" s="1008">
        <f t="shared" si="21"/>
        <v>0</v>
      </c>
      <c r="EC5" s="1008"/>
      <c r="ED5" s="1008">
        <f t="shared" si="22"/>
        <v>0</v>
      </c>
    </row>
    <row r="6" spans="1:134" ht="66.75" customHeight="1" x14ac:dyDescent="0.25">
      <c r="A6" s="1562"/>
      <c r="B6" s="1021"/>
      <c r="C6" s="1116" t="s">
        <v>4558</v>
      </c>
      <c r="D6" s="1019" t="s">
        <v>4657</v>
      </c>
      <c r="E6" s="1133">
        <v>510</v>
      </c>
      <c r="F6" s="1120" t="s">
        <v>4660</v>
      </c>
      <c r="G6" s="1400"/>
      <c r="H6" s="1061">
        <f t="shared" si="0"/>
        <v>0</v>
      </c>
      <c r="I6" s="1061">
        <f t="shared" si="1"/>
        <v>5000000</v>
      </c>
      <c r="J6" s="1400"/>
      <c r="K6" s="1573"/>
      <c r="L6" s="1573"/>
      <c r="M6" s="1115">
        <v>0</v>
      </c>
      <c r="N6" s="1115">
        <v>0</v>
      </c>
      <c r="O6" s="1115">
        <v>0</v>
      </c>
      <c r="P6" s="1115">
        <v>0</v>
      </c>
      <c r="Q6" s="1115">
        <v>25</v>
      </c>
      <c r="R6" s="1115">
        <v>0</v>
      </c>
      <c r="S6" s="1120"/>
      <c r="T6" s="1120"/>
      <c r="U6" s="1120"/>
      <c r="V6" s="1120"/>
      <c r="W6" s="1120"/>
      <c r="X6" s="1120"/>
      <c r="Y6" s="1008">
        <f t="shared" si="2"/>
        <v>5000000</v>
      </c>
      <c r="Z6" s="1008"/>
      <c r="AA6" s="1008"/>
      <c r="AB6" s="1008"/>
      <c r="AC6" s="1008"/>
      <c r="AD6" s="1008"/>
      <c r="AE6" s="1008"/>
      <c r="AF6" s="1008"/>
      <c r="AG6" s="1008"/>
      <c r="AH6" s="1008"/>
      <c r="AI6" s="1008"/>
      <c r="AJ6" s="1008"/>
      <c r="AK6" s="1008"/>
      <c r="AL6" s="1008"/>
      <c r="AM6" s="1008">
        <v>5000000</v>
      </c>
      <c r="AN6" s="1008"/>
      <c r="AO6" s="1008"/>
      <c r="AP6" s="1008"/>
      <c r="AQ6" s="1008"/>
      <c r="AR6" s="1008"/>
      <c r="AS6" s="1008"/>
      <c r="AT6" s="986"/>
      <c r="AU6" s="1011">
        <f t="shared" si="3"/>
        <v>1</v>
      </c>
      <c r="AV6" s="1008">
        <f t="shared" si="4"/>
        <v>5000000</v>
      </c>
      <c r="AW6" s="1008"/>
      <c r="AX6" s="1008"/>
      <c r="AY6" s="1008"/>
      <c r="AZ6" s="1008"/>
      <c r="BA6" s="1008"/>
      <c r="BB6" s="1008"/>
      <c r="BC6" s="1008"/>
      <c r="BD6" s="1008"/>
      <c r="BE6" s="1008"/>
      <c r="BF6" s="1008"/>
      <c r="BG6" s="1008"/>
      <c r="BH6" s="1008"/>
      <c r="BI6" s="1008"/>
      <c r="BJ6" s="1008">
        <f>+'[18]OCTUBRE 2015'!$W$2832</f>
        <v>5000000</v>
      </c>
      <c r="BK6" s="1008"/>
      <c r="BL6" s="1008"/>
      <c r="BM6" s="1008"/>
      <c r="BN6" s="1008"/>
      <c r="BO6" s="1008"/>
      <c r="BP6" s="1008"/>
      <c r="BQ6" s="1011">
        <f t="shared" si="5"/>
        <v>0</v>
      </c>
      <c r="BR6" s="1008">
        <f t="shared" si="6"/>
        <v>0</v>
      </c>
      <c r="BS6" s="1008">
        <f t="shared" si="7"/>
        <v>0</v>
      </c>
      <c r="BT6" s="1008">
        <f t="shared" si="8"/>
        <v>0</v>
      </c>
      <c r="BU6" s="1008"/>
      <c r="BV6" s="1008">
        <f t="shared" si="9"/>
        <v>0</v>
      </c>
      <c r="BW6" s="1008"/>
      <c r="BX6" s="1008">
        <f t="shared" si="10"/>
        <v>0</v>
      </c>
      <c r="BY6" s="1008">
        <f t="shared" si="10"/>
        <v>0</v>
      </c>
      <c r="BZ6" s="1008"/>
      <c r="CA6" s="1008"/>
      <c r="CB6" s="1008"/>
      <c r="CC6" s="1008"/>
      <c r="CD6" s="1008">
        <f t="shared" si="11"/>
        <v>0</v>
      </c>
      <c r="CE6" s="1008">
        <f t="shared" si="11"/>
        <v>0</v>
      </c>
      <c r="CF6" s="1008">
        <f t="shared" si="11"/>
        <v>0</v>
      </c>
      <c r="CG6" s="1008">
        <f t="shared" si="11"/>
        <v>0</v>
      </c>
      <c r="CH6" s="1008">
        <f t="shared" si="11"/>
        <v>0</v>
      </c>
      <c r="CI6" s="1008">
        <f t="shared" si="11"/>
        <v>0</v>
      </c>
      <c r="CJ6" s="1008"/>
      <c r="CK6" s="1008"/>
      <c r="CL6" s="1008">
        <f t="shared" si="12"/>
        <v>0</v>
      </c>
      <c r="CM6" s="1011">
        <f t="shared" si="13"/>
        <v>0</v>
      </c>
      <c r="CN6" s="1008">
        <f t="shared" si="14"/>
        <v>0</v>
      </c>
      <c r="CO6" s="1008"/>
      <c r="CP6" s="1008"/>
      <c r="CQ6" s="1008"/>
      <c r="CR6" s="1008"/>
      <c r="CS6" s="1008"/>
      <c r="CT6" s="1008"/>
      <c r="CU6" s="1008"/>
      <c r="CV6" s="1008"/>
      <c r="CW6" s="1008"/>
      <c r="CX6" s="1008"/>
      <c r="CY6" s="1008"/>
      <c r="CZ6" s="1008"/>
      <c r="DA6" s="1008"/>
      <c r="DB6" s="1008"/>
      <c r="DC6" s="1008"/>
      <c r="DD6" s="1008"/>
      <c r="DE6" s="1008"/>
      <c r="DF6" s="1008"/>
      <c r="DG6" s="1008"/>
      <c r="DH6" s="1008"/>
      <c r="DI6" s="1011">
        <f t="shared" si="15"/>
        <v>1</v>
      </c>
      <c r="DJ6" s="1008">
        <f t="shared" si="16"/>
        <v>5000000</v>
      </c>
      <c r="DK6" s="1008">
        <f t="shared" si="17"/>
        <v>0</v>
      </c>
      <c r="DL6" s="1008">
        <f t="shared" si="17"/>
        <v>0</v>
      </c>
      <c r="DM6" s="1008"/>
      <c r="DN6" s="1008">
        <f t="shared" si="18"/>
        <v>0</v>
      </c>
      <c r="DO6" s="1008">
        <f t="shared" si="18"/>
        <v>0</v>
      </c>
      <c r="DP6" s="1008">
        <f t="shared" si="18"/>
        <v>0</v>
      </c>
      <c r="DQ6" s="1008">
        <f t="shared" si="18"/>
        <v>0</v>
      </c>
      <c r="DR6" s="1008"/>
      <c r="DS6" s="1008">
        <f t="shared" si="19"/>
        <v>0</v>
      </c>
      <c r="DT6" s="1008">
        <f t="shared" si="19"/>
        <v>0</v>
      </c>
      <c r="DU6" s="1008"/>
      <c r="DV6" s="1008">
        <f t="shared" si="20"/>
        <v>0</v>
      </c>
      <c r="DW6" s="1008">
        <f t="shared" si="20"/>
        <v>0</v>
      </c>
      <c r="DX6" s="1008">
        <f t="shared" si="20"/>
        <v>5000000</v>
      </c>
      <c r="DY6" s="1008">
        <f t="shared" si="21"/>
        <v>0</v>
      </c>
      <c r="DZ6" s="1008">
        <f t="shared" si="21"/>
        <v>0</v>
      </c>
      <c r="EA6" s="1008">
        <f t="shared" si="21"/>
        <v>0</v>
      </c>
      <c r="EB6" s="1008">
        <f t="shared" si="21"/>
        <v>0</v>
      </c>
      <c r="EC6" s="1008"/>
      <c r="ED6" s="1008">
        <f t="shared" si="22"/>
        <v>0</v>
      </c>
    </row>
    <row r="7" spans="1:134" ht="50.25" customHeight="1" x14ac:dyDescent="0.25">
      <c r="A7" s="1562"/>
      <c r="B7" s="1022"/>
      <c r="C7" s="1116" t="s">
        <v>4559</v>
      </c>
      <c r="D7" s="1019" t="s">
        <v>4658</v>
      </c>
      <c r="E7" s="1023">
        <v>510</v>
      </c>
      <c r="F7" s="1120" t="s">
        <v>4660</v>
      </c>
      <c r="G7" s="1400"/>
      <c r="H7" s="1061">
        <f t="shared" si="0"/>
        <v>10507037</v>
      </c>
      <c r="I7" s="1061">
        <f t="shared" si="1"/>
        <v>24492963</v>
      </c>
      <c r="J7" s="1400"/>
      <c r="K7" s="1573"/>
      <c r="L7" s="1573"/>
      <c r="M7" s="1115">
        <v>0</v>
      </c>
      <c r="N7" s="1115">
        <v>0</v>
      </c>
      <c r="O7" s="1115">
        <v>0</v>
      </c>
      <c r="P7" s="1115">
        <v>0</v>
      </c>
      <c r="Q7" s="1115">
        <v>25</v>
      </c>
      <c r="R7" s="1115">
        <v>0</v>
      </c>
      <c r="S7" s="1120"/>
      <c r="T7" s="1120"/>
      <c r="U7" s="1120"/>
      <c r="V7" s="1120"/>
      <c r="W7" s="1120"/>
      <c r="X7" s="1120"/>
      <c r="Y7" s="1008">
        <f t="shared" si="2"/>
        <v>35000000</v>
      </c>
      <c r="Z7" s="1008"/>
      <c r="AA7" s="1008"/>
      <c r="AB7" s="1008"/>
      <c r="AC7" s="1008"/>
      <c r="AD7" s="1008"/>
      <c r="AE7" s="1008"/>
      <c r="AF7" s="1008"/>
      <c r="AG7" s="1008"/>
      <c r="AH7" s="1008"/>
      <c r="AI7" s="1008"/>
      <c r="AJ7" s="1008"/>
      <c r="AK7" s="1008"/>
      <c r="AL7" s="1008"/>
      <c r="AM7" s="1067">
        <f>10000000+25000000</f>
        <v>35000000</v>
      </c>
      <c r="AN7" s="1008"/>
      <c r="AO7" s="1008"/>
      <c r="AP7" s="1008"/>
      <c r="AQ7" s="1008"/>
      <c r="AR7" s="1008"/>
      <c r="AS7" s="1008"/>
      <c r="AT7" s="986"/>
      <c r="AU7" s="1011">
        <f t="shared" si="3"/>
        <v>0.55086391428571424</v>
      </c>
      <c r="AV7" s="1008">
        <f t="shared" si="4"/>
        <v>19280237</v>
      </c>
      <c r="AW7" s="1008"/>
      <c r="AX7" s="1008"/>
      <c r="AY7" s="1008"/>
      <c r="AZ7" s="1008"/>
      <c r="BA7" s="1008"/>
      <c r="BB7" s="1008"/>
      <c r="BC7" s="1008"/>
      <c r="BD7" s="1008"/>
      <c r="BE7" s="1008"/>
      <c r="BF7" s="1008"/>
      <c r="BG7" s="1008"/>
      <c r="BH7" s="1008"/>
      <c r="BI7" s="1008"/>
      <c r="BJ7" s="1008">
        <f>+'[18]OCTUBRE 2015'!$W$2838</f>
        <v>19280237</v>
      </c>
      <c r="BK7" s="1008"/>
      <c r="BL7" s="1008"/>
      <c r="BM7" s="1008"/>
      <c r="BN7" s="1008"/>
      <c r="BO7" s="1008"/>
      <c r="BP7" s="1008"/>
      <c r="BQ7" s="1011">
        <f t="shared" si="5"/>
        <v>0.44913608571428576</v>
      </c>
      <c r="BR7" s="1008">
        <f t="shared" si="6"/>
        <v>15719763</v>
      </c>
      <c r="BS7" s="1008">
        <f t="shared" si="7"/>
        <v>0</v>
      </c>
      <c r="BT7" s="1008">
        <f t="shared" si="8"/>
        <v>0</v>
      </c>
      <c r="BU7" s="1008"/>
      <c r="BV7" s="1008">
        <f t="shared" si="9"/>
        <v>0</v>
      </c>
      <c r="BW7" s="1008"/>
      <c r="BX7" s="1008">
        <f t="shared" si="10"/>
        <v>0</v>
      </c>
      <c r="BY7" s="1008">
        <f t="shared" si="10"/>
        <v>0</v>
      </c>
      <c r="BZ7" s="1008"/>
      <c r="CA7" s="1008"/>
      <c r="CB7" s="1008"/>
      <c r="CC7" s="1008"/>
      <c r="CD7" s="1008">
        <f t="shared" si="11"/>
        <v>0</v>
      </c>
      <c r="CE7" s="1008">
        <f t="shared" si="11"/>
        <v>0</v>
      </c>
      <c r="CF7" s="1008">
        <f t="shared" si="11"/>
        <v>15719763</v>
      </c>
      <c r="CG7" s="1008">
        <f t="shared" si="11"/>
        <v>0</v>
      </c>
      <c r="CH7" s="1008">
        <f t="shared" si="11"/>
        <v>0</v>
      </c>
      <c r="CI7" s="1008">
        <f t="shared" si="11"/>
        <v>0</v>
      </c>
      <c r="CJ7" s="1008"/>
      <c r="CK7" s="1008"/>
      <c r="CL7" s="1008">
        <f t="shared" si="12"/>
        <v>0</v>
      </c>
      <c r="CM7" s="1011">
        <f t="shared" si="13"/>
        <v>0.30020105714285716</v>
      </c>
      <c r="CN7" s="1008">
        <f t="shared" si="14"/>
        <v>10507037</v>
      </c>
      <c r="CO7" s="1008"/>
      <c r="CP7" s="1008"/>
      <c r="CQ7" s="1008"/>
      <c r="CR7" s="1008"/>
      <c r="CS7" s="1008"/>
      <c r="CT7" s="1008"/>
      <c r="CU7" s="1008"/>
      <c r="CV7" s="1008"/>
      <c r="CW7" s="1008"/>
      <c r="CX7" s="1008"/>
      <c r="CY7" s="1008"/>
      <c r="CZ7" s="1008"/>
      <c r="DA7" s="1008"/>
      <c r="DB7" s="1008">
        <f>+'[18]OCTUBRE 2015'!$H$2836</f>
        <v>10507037</v>
      </c>
      <c r="DC7" s="1008"/>
      <c r="DD7" s="1008"/>
      <c r="DE7" s="1008"/>
      <c r="DF7" s="1008"/>
      <c r="DG7" s="1008"/>
      <c r="DH7" s="1008"/>
      <c r="DI7" s="1011">
        <f t="shared" si="15"/>
        <v>0.69979894285714284</v>
      </c>
      <c r="DJ7" s="1008">
        <f t="shared" si="16"/>
        <v>24492963</v>
      </c>
      <c r="DK7" s="1008">
        <f t="shared" si="17"/>
        <v>0</v>
      </c>
      <c r="DL7" s="1008">
        <f t="shared" si="17"/>
        <v>0</v>
      </c>
      <c r="DM7" s="1008"/>
      <c r="DN7" s="1008">
        <f t="shared" si="18"/>
        <v>0</v>
      </c>
      <c r="DO7" s="1008">
        <f t="shared" si="18"/>
        <v>0</v>
      </c>
      <c r="DP7" s="1008">
        <f t="shared" si="18"/>
        <v>0</v>
      </c>
      <c r="DQ7" s="1008">
        <f t="shared" si="18"/>
        <v>0</v>
      </c>
      <c r="DR7" s="1008"/>
      <c r="DS7" s="1008">
        <f t="shared" si="19"/>
        <v>0</v>
      </c>
      <c r="DT7" s="1008">
        <f t="shared" si="19"/>
        <v>0</v>
      </c>
      <c r="DU7" s="1008"/>
      <c r="DV7" s="1008">
        <f t="shared" si="20"/>
        <v>0</v>
      </c>
      <c r="DW7" s="1008">
        <f t="shared" si="20"/>
        <v>0</v>
      </c>
      <c r="DX7" s="1008">
        <f t="shared" si="20"/>
        <v>24492963</v>
      </c>
      <c r="DY7" s="1008">
        <f t="shared" si="21"/>
        <v>0</v>
      </c>
      <c r="DZ7" s="1008">
        <f t="shared" si="21"/>
        <v>0</v>
      </c>
      <c r="EA7" s="1008">
        <f t="shared" si="21"/>
        <v>0</v>
      </c>
      <c r="EB7" s="1008">
        <f t="shared" si="21"/>
        <v>0</v>
      </c>
      <c r="EC7" s="1008"/>
      <c r="ED7" s="1008">
        <f t="shared" si="22"/>
        <v>0</v>
      </c>
    </row>
    <row r="8" spans="1:134" ht="110.25" customHeight="1" x14ac:dyDescent="0.25">
      <c r="A8" s="1562"/>
      <c r="B8" s="1021"/>
      <c r="C8" s="1116" t="s">
        <v>4560</v>
      </c>
      <c r="D8" s="1019" t="s">
        <v>4659</v>
      </c>
      <c r="E8" s="1134">
        <v>510</v>
      </c>
      <c r="F8" s="1120" t="s">
        <v>4660</v>
      </c>
      <c r="G8" s="1400"/>
      <c r="H8" s="1061">
        <f t="shared" si="0"/>
        <v>0</v>
      </c>
      <c r="I8" s="1061">
        <f t="shared" si="1"/>
        <v>0</v>
      </c>
      <c r="J8" s="1400"/>
      <c r="K8" s="1573"/>
      <c r="L8" s="1573"/>
      <c r="M8" s="1115">
        <v>0</v>
      </c>
      <c r="N8" s="1115">
        <v>0</v>
      </c>
      <c r="O8" s="1115">
        <v>0</v>
      </c>
      <c r="P8" s="1115">
        <v>0</v>
      </c>
      <c r="Q8" s="1115">
        <v>25</v>
      </c>
      <c r="R8" s="1115">
        <v>0</v>
      </c>
      <c r="S8" s="1120"/>
      <c r="T8" s="1120"/>
      <c r="U8" s="1120"/>
      <c r="V8" s="1120"/>
      <c r="W8" s="1120"/>
      <c r="X8" s="1120"/>
      <c r="Y8" s="1008">
        <f t="shared" si="2"/>
        <v>0</v>
      </c>
      <c r="Z8" s="1008"/>
      <c r="AA8" s="1008"/>
      <c r="AB8" s="1008"/>
      <c r="AC8" s="1008"/>
      <c r="AD8" s="1008"/>
      <c r="AE8" s="1008"/>
      <c r="AF8" s="1008"/>
      <c r="AG8" s="1008"/>
      <c r="AH8" s="1008"/>
      <c r="AI8" s="1008"/>
      <c r="AJ8" s="1008"/>
      <c r="AK8" s="1008"/>
      <c r="AL8" s="1008"/>
      <c r="AM8" s="1067">
        <f>25000000-25000000</f>
        <v>0</v>
      </c>
      <c r="AN8" s="1008"/>
      <c r="AO8" s="1008"/>
      <c r="AP8" s="1008"/>
      <c r="AQ8" s="1008"/>
      <c r="AR8" s="1008"/>
      <c r="AS8" s="1008"/>
      <c r="AT8" s="986"/>
      <c r="AU8" s="1011">
        <v>0</v>
      </c>
      <c r="AV8" s="1008">
        <f t="shared" si="4"/>
        <v>0</v>
      </c>
      <c r="AW8" s="1008"/>
      <c r="AX8" s="1008"/>
      <c r="AY8" s="1008"/>
      <c r="AZ8" s="1008"/>
      <c r="BA8" s="1008"/>
      <c r="BB8" s="1008"/>
      <c r="BC8" s="1008"/>
      <c r="BD8" s="1008"/>
      <c r="BE8" s="1008"/>
      <c r="BF8" s="1008"/>
      <c r="BG8" s="1008"/>
      <c r="BH8" s="1008"/>
      <c r="BI8" s="1008"/>
      <c r="BJ8" s="1008"/>
      <c r="BK8" s="1008"/>
      <c r="BL8" s="1008"/>
      <c r="BM8" s="1008"/>
      <c r="BN8" s="1008"/>
      <c r="BO8" s="1008"/>
      <c r="BP8" s="1008"/>
      <c r="BQ8" s="1011">
        <v>0</v>
      </c>
      <c r="BR8" s="1008">
        <f t="shared" si="6"/>
        <v>0</v>
      </c>
      <c r="BS8" s="1008">
        <f t="shared" si="7"/>
        <v>0</v>
      </c>
      <c r="BT8" s="1008">
        <f t="shared" si="8"/>
        <v>0</v>
      </c>
      <c r="BU8" s="1008"/>
      <c r="BV8" s="1008">
        <f t="shared" si="9"/>
        <v>0</v>
      </c>
      <c r="BW8" s="1008"/>
      <c r="BX8" s="1008">
        <f t="shared" si="10"/>
        <v>0</v>
      </c>
      <c r="BY8" s="1008">
        <f t="shared" si="10"/>
        <v>0</v>
      </c>
      <c r="BZ8" s="1008"/>
      <c r="CA8" s="1008"/>
      <c r="CB8" s="1008"/>
      <c r="CC8" s="1008"/>
      <c r="CD8" s="1008">
        <f t="shared" si="11"/>
        <v>0</v>
      </c>
      <c r="CE8" s="1008">
        <f t="shared" si="11"/>
        <v>0</v>
      </c>
      <c r="CF8" s="1008">
        <f t="shared" si="11"/>
        <v>0</v>
      </c>
      <c r="CG8" s="1008">
        <f t="shared" si="11"/>
        <v>0</v>
      </c>
      <c r="CH8" s="1008">
        <f t="shared" si="11"/>
        <v>0</v>
      </c>
      <c r="CI8" s="1008">
        <f t="shared" si="11"/>
        <v>0</v>
      </c>
      <c r="CJ8" s="1008"/>
      <c r="CK8" s="1008"/>
      <c r="CL8" s="1008">
        <f t="shared" si="12"/>
        <v>0</v>
      </c>
      <c r="CM8" s="1011">
        <v>0</v>
      </c>
      <c r="CN8" s="1008">
        <f t="shared" si="14"/>
        <v>0</v>
      </c>
      <c r="CO8" s="1008"/>
      <c r="CP8" s="1008"/>
      <c r="CQ8" s="1008"/>
      <c r="CR8" s="1008"/>
      <c r="CS8" s="1008"/>
      <c r="CT8" s="1008"/>
      <c r="CU8" s="1008"/>
      <c r="CV8" s="1008"/>
      <c r="CW8" s="1008"/>
      <c r="CX8" s="1008"/>
      <c r="CY8" s="1008"/>
      <c r="CZ8" s="1008"/>
      <c r="DA8" s="1008"/>
      <c r="DB8" s="1008"/>
      <c r="DC8" s="1008"/>
      <c r="DD8" s="1008"/>
      <c r="DE8" s="1008"/>
      <c r="DF8" s="1008"/>
      <c r="DG8" s="1008"/>
      <c r="DH8" s="1008"/>
      <c r="DI8" s="1011">
        <v>0</v>
      </c>
      <c r="DJ8" s="1008">
        <f t="shared" si="16"/>
        <v>0</v>
      </c>
      <c r="DK8" s="1008">
        <f t="shared" si="17"/>
        <v>0</v>
      </c>
      <c r="DL8" s="1008">
        <f t="shared" si="17"/>
        <v>0</v>
      </c>
      <c r="DM8" s="1008"/>
      <c r="DN8" s="1008">
        <f t="shared" si="18"/>
        <v>0</v>
      </c>
      <c r="DO8" s="1008">
        <f t="shared" si="18"/>
        <v>0</v>
      </c>
      <c r="DP8" s="1008">
        <f t="shared" si="18"/>
        <v>0</v>
      </c>
      <c r="DQ8" s="1008">
        <f t="shared" si="18"/>
        <v>0</v>
      </c>
      <c r="DR8" s="1008"/>
      <c r="DS8" s="1008">
        <f t="shared" si="19"/>
        <v>0</v>
      </c>
      <c r="DT8" s="1008">
        <f t="shared" si="19"/>
        <v>0</v>
      </c>
      <c r="DU8" s="1008"/>
      <c r="DV8" s="1008">
        <f t="shared" si="20"/>
        <v>0</v>
      </c>
      <c r="DW8" s="1008">
        <f t="shared" si="20"/>
        <v>0</v>
      </c>
      <c r="DX8" s="1008">
        <f t="shared" si="20"/>
        <v>0</v>
      </c>
      <c r="DY8" s="1008">
        <f t="shared" si="21"/>
        <v>0</v>
      </c>
      <c r="DZ8" s="1008">
        <f t="shared" si="21"/>
        <v>0</v>
      </c>
      <c r="EA8" s="1008">
        <f t="shared" si="21"/>
        <v>0</v>
      </c>
      <c r="EB8" s="1008">
        <f t="shared" si="21"/>
        <v>0</v>
      </c>
      <c r="EC8" s="1008"/>
      <c r="ED8" s="1008">
        <f t="shared" si="22"/>
        <v>0</v>
      </c>
    </row>
    <row r="9" spans="1:134" ht="47.25" customHeight="1" x14ac:dyDescent="0.25">
      <c r="A9" s="1562"/>
      <c r="B9" s="1021"/>
      <c r="C9" s="1116" t="s">
        <v>4561</v>
      </c>
      <c r="D9" s="1019" t="s">
        <v>4662</v>
      </c>
      <c r="E9" s="1020">
        <v>510</v>
      </c>
      <c r="F9" s="1120" t="s">
        <v>4660</v>
      </c>
      <c r="G9" s="1401"/>
      <c r="H9" s="1061">
        <f t="shared" si="0"/>
        <v>34542493</v>
      </c>
      <c r="I9" s="1061">
        <f t="shared" si="1"/>
        <v>457507</v>
      </c>
      <c r="J9" s="1401"/>
      <c r="K9" s="1284"/>
      <c r="L9" s="1284"/>
      <c r="M9" s="1115">
        <v>0</v>
      </c>
      <c r="N9" s="1115">
        <v>0</v>
      </c>
      <c r="O9" s="1115">
        <v>0</v>
      </c>
      <c r="P9" s="1115">
        <v>42</v>
      </c>
      <c r="Q9" s="1115">
        <v>25</v>
      </c>
      <c r="R9" s="1115">
        <v>11</v>
      </c>
      <c r="S9" s="1120"/>
      <c r="T9" s="1120"/>
      <c r="U9" s="1120"/>
      <c r="V9" s="1120"/>
      <c r="W9" s="1120"/>
      <c r="X9" s="1120"/>
      <c r="Y9" s="1008">
        <f t="shared" si="2"/>
        <v>35000000</v>
      </c>
      <c r="Z9" s="1008"/>
      <c r="AA9" s="1008"/>
      <c r="AB9" s="1008"/>
      <c r="AC9" s="1008"/>
      <c r="AD9" s="1008"/>
      <c r="AE9" s="1008"/>
      <c r="AF9" s="1008"/>
      <c r="AG9" s="1008"/>
      <c r="AH9" s="1008"/>
      <c r="AI9" s="1008"/>
      <c r="AJ9" s="1008"/>
      <c r="AK9" s="1008"/>
      <c r="AL9" s="1008"/>
      <c r="AM9" s="1067">
        <f>35000000</f>
        <v>35000000</v>
      </c>
      <c r="AN9" s="1008"/>
      <c r="AO9" s="1008"/>
      <c r="AP9" s="1008"/>
      <c r="AQ9" s="1008"/>
      <c r="AR9" s="1008"/>
      <c r="AS9" s="1008"/>
      <c r="AT9" s="986"/>
      <c r="AU9" s="1011">
        <f t="shared" si="3"/>
        <v>0.98692837142857148</v>
      </c>
      <c r="AV9" s="1008">
        <f t="shared" si="4"/>
        <v>34542493</v>
      </c>
      <c r="AW9" s="1008"/>
      <c r="AX9" s="1008"/>
      <c r="AY9" s="1008"/>
      <c r="AZ9" s="1008"/>
      <c r="BA9" s="1008"/>
      <c r="BB9" s="1008"/>
      <c r="BC9" s="1008"/>
      <c r="BD9" s="1008"/>
      <c r="BE9" s="1008"/>
      <c r="BF9" s="1008"/>
      <c r="BG9" s="1008"/>
      <c r="BH9" s="1008"/>
      <c r="BI9" s="1008"/>
      <c r="BJ9" s="1008">
        <f>+'[17]SEPTIEMBRE 2015'!$W$2458</f>
        <v>34542493</v>
      </c>
      <c r="BK9" s="1008"/>
      <c r="BL9" s="1008"/>
      <c r="BM9" s="1008"/>
      <c r="BN9" s="1008"/>
      <c r="BO9" s="1008"/>
      <c r="BP9" s="1008"/>
      <c r="BQ9" s="1011">
        <f t="shared" si="5"/>
        <v>1.3071628571428517E-2</v>
      </c>
      <c r="BR9" s="1008">
        <f t="shared" si="6"/>
        <v>457507</v>
      </c>
      <c r="BS9" s="1008">
        <f t="shared" si="7"/>
        <v>0</v>
      </c>
      <c r="BT9" s="1008">
        <f t="shared" si="8"/>
        <v>0</v>
      </c>
      <c r="BU9" s="1008"/>
      <c r="BV9" s="1008">
        <f t="shared" si="9"/>
        <v>0</v>
      </c>
      <c r="BW9" s="1008"/>
      <c r="BX9" s="1008">
        <f t="shared" si="10"/>
        <v>0</v>
      </c>
      <c r="BY9" s="1008">
        <f t="shared" si="10"/>
        <v>0</v>
      </c>
      <c r="BZ9" s="1008"/>
      <c r="CA9" s="1008"/>
      <c r="CB9" s="1008"/>
      <c r="CC9" s="1008"/>
      <c r="CD9" s="1008">
        <f t="shared" si="11"/>
        <v>0</v>
      </c>
      <c r="CE9" s="1008">
        <f t="shared" si="11"/>
        <v>0</v>
      </c>
      <c r="CF9" s="1008">
        <f t="shared" si="11"/>
        <v>457507</v>
      </c>
      <c r="CG9" s="1008">
        <f t="shared" si="11"/>
        <v>0</v>
      </c>
      <c r="CH9" s="1008">
        <f t="shared" si="11"/>
        <v>0</v>
      </c>
      <c r="CI9" s="1008">
        <f t="shared" si="11"/>
        <v>0</v>
      </c>
      <c r="CJ9" s="1008"/>
      <c r="CK9" s="1008"/>
      <c r="CL9" s="1008">
        <f t="shared" si="12"/>
        <v>0</v>
      </c>
      <c r="CM9" s="1011">
        <f t="shared" si="13"/>
        <v>0.98692837142857148</v>
      </c>
      <c r="CN9" s="1008">
        <f t="shared" si="14"/>
        <v>34542493</v>
      </c>
      <c r="CO9" s="1008"/>
      <c r="CP9" s="1008"/>
      <c r="CQ9" s="1008"/>
      <c r="CR9" s="1008"/>
      <c r="CS9" s="1008"/>
      <c r="CT9" s="1008"/>
      <c r="CU9" s="1008"/>
      <c r="CV9" s="1008"/>
      <c r="CW9" s="1008"/>
      <c r="CX9" s="1008"/>
      <c r="CY9" s="1008"/>
      <c r="CZ9" s="1008"/>
      <c r="DA9" s="1008"/>
      <c r="DB9" s="1008">
        <f>+'[17]SEPTIEMBRE 2015'!$H$2456</f>
        <v>34542493</v>
      </c>
      <c r="DC9" s="1008"/>
      <c r="DD9" s="1008"/>
      <c r="DE9" s="1008"/>
      <c r="DF9" s="1008"/>
      <c r="DG9" s="1008"/>
      <c r="DH9" s="1008"/>
      <c r="DI9" s="1011">
        <f t="shared" si="15"/>
        <v>1.3071628571428517E-2</v>
      </c>
      <c r="DJ9" s="1008">
        <f t="shared" si="16"/>
        <v>457507</v>
      </c>
      <c r="DK9" s="1008">
        <f t="shared" si="17"/>
        <v>0</v>
      </c>
      <c r="DL9" s="1008">
        <f t="shared" si="17"/>
        <v>0</v>
      </c>
      <c r="DM9" s="1008"/>
      <c r="DN9" s="1008">
        <f t="shared" si="18"/>
        <v>0</v>
      </c>
      <c r="DO9" s="1008">
        <f t="shared" si="18"/>
        <v>0</v>
      </c>
      <c r="DP9" s="1008">
        <f t="shared" si="18"/>
        <v>0</v>
      </c>
      <c r="DQ9" s="1008">
        <f t="shared" si="18"/>
        <v>0</v>
      </c>
      <c r="DR9" s="1008"/>
      <c r="DS9" s="1008">
        <f t="shared" si="19"/>
        <v>0</v>
      </c>
      <c r="DT9" s="1008">
        <f t="shared" si="19"/>
        <v>0</v>
      </c>
      <c r="DU9" s="1008"/>
      <c r="DV9" s="1008">
        <f t="shared" si="20"/>
        <v>0</v>
      </c>
      <c r="DW9" s="1008">
        <f t="shared" si="20"/>
        <v>0</v>
      </c>
      <c r="DX9" s="1008">
        <f t="shared" si="20"/>
        <v>457507</v>
      </c>
      <c r="DY9" s="1008">
        <f t="shared" si="21"/>
        <v>0</v>
      </c>
      <c r="DZ9" s="1008">
        <f t="shared" si="21"/>
        <v>0</v>
      </c>
      <c r="EA9" s="1008">
        <f t="shared" si="21"/>
        <v>0</v>
      </c>
      <c r="EB9" s="1008">
        <f t="shared" si="21"/>
        <v>0</v>
      </c>
      <c r="EC9" s="1008"/>
      <c r="ED9" s="1008">
        <f t="shared" si="22"/>
        <v>0</v>
      </c>
    </row>
    <row r="10" spans="1:134" ht="51.75" customHeight="1" x14ac:dyDescent="0.25">
      <c r="A10" s="1562"/>
      <c r="B10" s="1021" t="s">
        <v>4299</v>
      </c>
      <c r="C10" s="1116" t="s">
        <v>4398</v>
      </c>
      <c r="D10" s="1019" t="s">
        <v>4300</v>
      </c>
      <c r="E10" s="1020">
        <v>510</v>
      </c>
      <c r="F10" s="1120" t="s">
        <v>4727</v>
      </c>
      <c r="G10" s="1399">
        <v>95000000</v>
      </c>
      <c r="H10" s="1061">
        <f t="shared" si="0"/>
        <v>11958400</v>
      </c>
      <c r="I10" s="1061">
        <f t="shared" si="1"/>
        <v>7041600</v>
      </c>
      <c r="J10" s="1399" t="s">
        <v>4752</v>
      </c>
      <c r="K10" s="1283" t="s">
        <v>4762</v>
      </c>
      <c r="L10" s="1283" t="s">
        <v>4752</v>
      </c>
      <c r="M10" s="1115">
        <v>0</v>
      </c>
      <c r="N10" s="1115">
        <v>0</v>
      </c>
      <c r="O10" s="1115">
        <v>0</v>
      </c>
      <c r="P10" s="1115">
        <v>0</v>
      </c>
      <c r="Q10" s="1115">
        <v>0</v>
      </c>
      <c r="R10" s="1115">
        <v>0</v>
      </c>
      <c r="S10" s="1120"/>
      <c r="T10" s="1120"/>
      <c r="U10" s="1120"/>
      <c r="V10" s="1120"/>
      <c r="W10" s="1120"/>
      <c r="X10" s="1120"/>
      <c r="Y10" s="1008">
        <f t="shared" si="2"/>
        <v>19000000</v>
      </c>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f>5000000+10000000+4000000</f>
        <v>19000000</v>
      </c>
      <c r="AU10" s="1011">
        <f t="shared" si="3"/>
        <v>0.89473684210526316</v>
      </c>
      <c r="AV10" s="1008">
        <f t="shared" si="4"/>
        <v>17000000</v>
      </c>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f>+'[17]SEPTIEMBRE 2015'!$AD$2472</f>
        <v>17000000</v>
      </c>
      <c r="BQ10" s="1011">
        <f t="shared" si="5"/>
        <v>0.10526315789473684</v>
      </c>
      <c r="BR10" s="1008">
        <f t="shared" si="6"/>
        <v>2000000</v>
      </c>
      <c r="BS10" s="1008">
        <f t="shared" si="7"/>
        <v>0</v>
      </c>
      <c r="BT10" s="1008">
        <f t="shared" si="8"/>
        <v>0</v>
      </c>
      <c r="BU10" s="1008"/>
      <c r="BV10" s="1008">
        <f t="shared" si="9"/>
        <v>0</v>
      </c>
      <c r="BW10" s="1008"/>
      <c r="BX10" s="1008">
        <f t="shared" si="10"/>
        <v>0</v>
      </c>
      <c r="BY10" s="1008">
        <f t="shared" si="10"/>
        <v>0</v>
      </c>
      <c r="BZ10" s="1008"/>
      <c r="CA10" s="1008">
        <f>+AH10-BE10</f>
        <v>0</v>
      </c>
      <c r="CB10" s="1008">
        <f>+AI10-BF10</f>
        <v>0</v>
      </c>
      <c r="CC10" s="1008">
        <f>+AJ10-BG10</f>
        <v>0</v>
      </c>
      <c r="CD10" s="1008">
        <f t="shared" si="11"/>
        <v>0</v>
      </c>
      <c r="CE10" s="1008">
        <f t="shared" si="11"/>
        <v>0</v>
      </c>
      <c r="CF10" s="1008">
        <f t="shared" si="11"/>
        <v>0</v>
      </c>
      <c r="CG10" s="1008">
        <f t="shared" si="11"/>
        <v>0</v>
      </c>
      <c r="CH10" s="1008">
        <f t="shared" si="11"/>
        <v>0</v>
      </c>
      <c r="CI10" s="1008">
        <f t="shared" si="11"/>
        <v>0</v>
      </c>
      <c r="CJ10" s="1008"/>
      <c r="CK10" s="1008"/>
      <c r="CL10" s="1008">
        <f t="shared" si="12"/>
        <v>2000000</v>
      </c>
      <c r="CM10" s="1011">
        <f t="shared" si="13"/>
        <v>0.6293894736842105</v>
      </c>
      <c r="CN10" s="1008">
        <f t="shared" si="14"/>
        <v>11958400</v>
      </c>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f>+'[18]OCTUBRE 2015'!$H$2870</f>
        <v>11958400</v>
      </c>
      <c r="DI10" s="1011">
        <f t="shared" si="15"/>
        <v>0.3706105263157895</v>
      </c>
      <c r="DJ10" s="1008">
        <f t="shared" si="16"/>
        <v>7041600</v>
      </c>
      <c r="DK10" s="1008">
        <f t="shared" si="17"/>
        <v>0</v>
      </c>
      <c r="DL10" s="1008">
        <f t="shared" si="17"/>
        <v>0</v>
      </c>
      <c r="DM10" s="1008"/>
      <c r="DN10" s="1008">
        <f t="shared" si="18"/>
        <v>0</v>
      </c>
      <c r="DO10" s="1008">
        <f t="shared" si="18"/>
        <v>0</v>
      </c>
      <c r="DP10" s="1008">
        <f t="shared" si="18"/>
        <v>0</v>
      </c>
      <c r="DQ10" s="1008">
        <f t="shared" si="18"/>
        <v>0</v>
      </c>
      <c r="DR10" s="1008"/>
      <c r="DS10" s="1008">
        <f t="shared" si="19"/>
        <v>0</v>
      </c>
      <c r="DT10" s="1008">
        <f t="shared" si="19"/>
        <v>0</v>
      </c>
      <c r="DU10" s="1008"/>
      <c r="DV10" s="1008">
        <f t="shared" si="20"/>
        <v>0</v>
      </c>
      <c r="DW10" s="1008">
        <f t="shared" si="20"/>
        <v>0</v>
      </c>
      <c r="DX10" s="1008">
        <f t="shared" si="20"/>
        <v>0</v>
      </c>
      <c r="DY10" s="1008">
        <f t="shared" si="21"/>
        <v>0</v>
      </c>
      <c r="DZ10" s="1008">
        <f t="shared" si="21"/>
        <v>0</v>
      </c>
      <c r="EA10" s="1008">
        <f t="shared" si="21"/>
        <v>0</v>
      </c>
      <c r="EB10" s="1008">
        <f t="shared" si="21"/>
        <v>0</v>
      </c>
      <c r="EC10" s="1008"/>
      <c r="ED10" s="1008">
        <f t="shared" si="22"/>
        <v>7041600</v>
      </c>
    </row>
    <row r="11" spans="1:134" ht="48.75" customHeight="1" x14ac:dyDescent="0.25">
      <c r="A11" s="1562"/>
      <c r="B11" s="1021"/>
      <c r="C11" s="1116" t="s">
        <v>4592</v>
      </c>
      <c r="D11" s="1019" t="s">
        <v>4563</v>
      </c>
      <c r="E11" s="1020">
        <v>510</v>
      </c>
      <c r="F11" s="1120" t="s">
        <v>4660</v>
      </c>
      <c r="G11" s="1400"/>
      <c r="H11" s="1061">
        <f t="shared" si="0"/>
        <v>5190868</v>
      </c>
      <c r="I11" s="1061">
        <f t="shared" si="1"/>
        <v>9809132</v>
      </c>
      <c r="J11" s="1400"/>
      <c r="K11" s="1573"/>
      <c r="L11" s="1573"/>
      <c r="M11" s="1115">
        <v>0</v>
      </c>
      <c r="N11" s="1115">
        <v>0</v>
      </c>
      <c r="O11" s="1115">
        <v>0</v>
      </c>
      <c r="P11" s="1115">
        <v>0</v>
      </c>
      <c r="Q11" s="1115">
        <v>0</v>
      </c>
      <c r="R11" s="1115">
        <v>0</v>
      </c>
      <c r="S11" s="1120"/>
      <c r="T11" s="1120"/>
      <c r="U11" s="1120"/>
      <c r="V11" s="1120"/>
      <c r="W11" s="1120"/>
      <c r="X11" s="1120"/>
      <c r="Y11" s="1008">
        <f t="shared" si="2"/>
        <v>15000000</v>
      </c>
      <c r="Z11" s="1008"/>
      <c r="AA11" s="1008"/>
      <c r="AB11" s="1008"/>
      <c r="AC11" s="1008"/>
      <c r="AD11" s="1008"/>
      <c r="AE11" s="1008">
        <f>30000000-15000000</f>
        <v>15000000</v>
      </c>
      <c r="AF11" s="1008"/>
      <c r="AG11" s="1008"/>
      <c r="AH11" s="1008"/>
      <c r="AI11" s="1008"/>
      <c r="AJ11" s="1008"/>
      <c r="AK11" s="1008"/>
      <c r="AL11" s="1008"/>
      <c r="AM11" s="1008"/>
      <c r="AN11" s="1008"/>
      <c r="AO11" s="1008"/>
      <c r="AP11" s="1008"/>
      <c r="AQ11" s="1008"/>
      <c r="AR11" s="1008"/>
      <c r="AS11" s="1008"/>
      <c r="AU11" s="1011">
        <f t="shared" si="3"/>
        <v>0.34650226666666667</v>
      </c>
      <c r="AV11" s="1008">
        <f t="shared" si="4"/>
        <v>5197534</v>
      </c>
      <c r="AW11" s="1008"/>
      <c r="AX11" s="1008"/>
      <c r="AY11" s="1008"/>
      <c r="AZ11" s="1008"/>
      <c r="BA11" s="1008"/>
      <c r="BB11" s="1008">
        <f>+'[18]OCTUBRE 2015'!$O$2886</f>
        <v>5197534</v>
      </c>
      <c r="BC11" s="1008"/>
      <c r="BD11" s="1008"/>
      <c r="BE11" s="1008"/>
      <c r="BF11" s="1008"/>
      <c r="BG11" s="1008"/>
      <c r="BH11" s="1008"/>
      <c r="BI11" s="1008"/>
      <c r="BJ11" s="1008"/>
      <c r="BK11" s="1008"/>
      <c r="BL11" s="1008"/>
      <c r="BM11" s="1008"/>
      <c r="BN11" s="1008"/>
      <c r="BO11" s="1008"/>
      <c r="BP11" s="1008"/>
      <c r="BQ11" s="1011">
        <f t="shared" si="5"/>
        <v>0.65349773333333339</v>
      </c>
      <c r="BR11" s="1008">
        <f t="shared" si="6"/>
        <v>9802466</v>
      </c>
      <c r="BS11" s="1008">
        <f t="shared" si="7"/>
        <v>0</v>
      </c>
      <c r="BT11" s="1008">
        <f t="shared" si="8"/>
        <v>0</v>
      </c>
      <c r="BU11" s="1008"/>
      <c r="BV11" s="1008">
        <f t="shared" si="9"/>
        <v>0</v>
      </c>
      <c r="BW11" s="1008"/>
      <c r="BX11" s="1008">
        <f t="shared" si="10"/>
        <v>9802466</v>
      </c>
      <c r="BY11" s="1008">
        <f t="shared" si="10"/>
        <v>0</v>
      </c>
      <c r="BZ11" s="1008"/>
      <c r="CA11" s="1008"/>
      <c r="CB11" s="1008"/>
      <c r="CC11" s="1008"/>
      <c r="CD11" s="1008">
        <f t="shared" si="11"/>
        <v>0</v>
      </c>
      <c r="CE11" s="1008">
        <f t="shared" si="11"/>
        <v>0</v>
      </c>
      <c r="CF11" s="1008">
        <f t="shared" si="11"/>
        <v>0</v>
      </c>
      <c r="CG11" s="1008">
        <f t="shared" si="11"/>
        <v>0</v>
      </c>
      <c r="CH11" s="1008">
        <f t="shared" si="11"/>
        <v>0</v>
      </c>
      <c r="CI11" s="1008">
        <f t="shared" si="11"/>
        <v>0</v>
      </c>
      <c r="CJ11" s="1008"/>
      <c r="CK11" s="1008"/>
      <c r="CL11" s="1008">
        <f t="shared" si="12"/>
        <v>0</v>
      </c>
      <c r="CM11" s="1011">
        <f t="shared" si="13"/>
        <v>0.34605786666666666</v>
      </c>
      <c r="CN11" s="1008">
        <f t="shared" si="14"/>
        <v>5190868</v>
      </c>
      <c r="CO11" s="1008"/>
      <c r="CP11" s="1008"/>
      <c r="CQ11" s="1008"/>
      <c r="CR11" s="1008"/>
      <c r="CS11" s="1008"/>
      <c r="CT11" s="1008">
        <f>+'[18]OCTUBRE 2015'!$H$2884</f>
        <v>5190868</v>
      </c>
      <c r="CU11" s="1008"/>
      <c r="CV11" s="1008"/>
      <c r="CW11" s="1008"/>
      <c r="CX11" s="1008"/>
      <c r="CY11" s="1008"/>
      <c r="CZ11" s="1008"/>
      <c r="DA11" s="1008"/>
      <c r="DB11" s="1008"/>
      <c r="DC11" s="1008"/>
      <c r="DD11" s="1008"/>
      <c r="DE11" s="1008"/>
      <c r="DF11" s="1008"/>
      <c r="DG11" s="1008"/>
      <c r="DH11" s="1008"/>
      <c r="DI11" s="1011">
        <f t="shared" si="15"/>
        <v>0.65394213333333329</v>
      </c>
      <c r="DJ11" s="1008">
        <f t="shared" si="16"/>
        <v>9809132</v>
      </c>
      <c r="DK11" s="1008">
        <f t="shared" si="17"/>
        <v>0</v>
      </c>
      <c r="DL11" s="1008">
        <f t="shared" si="17"/>
        <v>0</v>
      </c>
      <c r="DM11" s="1008"/>
      <c r="DN11" s="1008">
        <f t="shared" si="18"/>
        <v>0</v>
      </c>
      <c r="DO11" s="1008">
        <f t="shared" si="18"/>
        <v>0</v>
      </c>
      <c r="DP11" s="1008">
        <f t="shared" si="18"/>
        <v>9809132</v>
      </c>
      <c r="DQ11" s="1008">
        <f t="shared" si="18"/>
        <v>0</v>
      </c>
      <c r="DR11" s="1008"/>
      <c r="DS11" s="1008">
        <f t="shared" si="19"/>
        <v>0</v>
      </c>
      <c r="DT11" s="1008">
        <f t="shared" si="19"/>
        <v>0</v>
      </c>
      <c r="DU11" s="1008"/>
      <c r="DV11" s="1008">
        <f t="shared" si="20"/>
        <v>0</v>
      </c>
      <c r="DW11" s="1008">
        <f t="shared" si="20"/>
        <v>0</v>
      </c>
      <c r="DX11" s="1008">
        <f t="shared" si="20"/>
        <v>0</v>
      </c>
      <c r="DY11" s="1008">
        <f t="shared" si="21"/>
        <v>0</v>
      </c>
      <c r="DZ11" s="1008">
        <f t="shared" si="21"/>
        <v>0</v>
      </c>
      <c r="EA11" s="1008">
        <f t="shared" si="21"/>
        <v>0</v>
      </c>
      <c r="EB11" s="1008">
        <f t="shared" si="21"/>
        <v>0</v>
      </c>
      <c r="EC11" s="1008"/>
      <c r="ED11" s="1008">
        <f t="shared" si="22"/>
        <v>0</v>
      </c>
    </row>
    <row r="12" spans="1:134" ht="33" customHeight="1" x14ac:dyDescent="0.25">
      <c r="A12" s="1562"/>
      <c r="B12" s="1021"/>
      <c r="C12" s="1116" t="s">
        <v>4593</v>
      </c>
      <c r="D12" s="1019" t="s">
        <v>4585</v>
      </c>
      <c r="E12" s="1020">
        <v>510</v>
      </c>
      <c r="F12" s="1120" t="s">
        <v>4660</v>
      </c>
      <c r="G12" s="1400"/>
      <c r="H12" s="1061">
        <f t="shared" si="0"/>
        <v>10000000</v>
      </c>
      <c r="I12" s="1061">
        <f t="shared" si="1"/>
        <v>0</v>
      </c>
      <c r="J12" s="1400"/>
      <c r="K12" s="1573"/>
      <c r="L12" s="1573"/>
      <c r="M12" s="1115">
        <v>0</v>
      </c>
      <c r="N12" s="1115">
        <v>0</v>
      </c>
      <c r="O12" s="1115">
        <v>0</v>
      </c>
      <c r="P12" s="1115">
        <v>100</v>
      </c>
      <c r="Q12" s="1115">
        <v>0</v>
      </c>
      <c r="R12" s="1115">
        <v>0</v>
      </c>
      <c r="S12" s="1120"/>
      <c r="T12" s="1120"/>
      <c r="U12" s="1120"/>
      <c r="V12" s="1120"/>
      <c r="W12" s="1120"/>
      <c r="X12" s="1120"/>
      <c r="Y12" s="1008">
        <f t="shared" si="2"/>
        <v>10000000</v>
      </c>
      <c r="Z12" s="1008"/>
      <c r="AA12" s="1008"/>
      <c r="AB12" s="1008"/>
      <c r="AC12" s="1008"/>
      <c r="AD12" s="1008"/>
      <c r="AE12" s="1008">
        <v>10000000</v>
      </c>
      <c r="AF12" s="1008"/>
      <c r="AG12" s="1008"/>
      <c r="AH12" s="1008"/>
      <c r="AI12" s="1008"/>
      <c r="AJ12" s="1008"/>
      <c r="AK12" s="1008"/>
      <c r="AL12" s="1008"/>
      <c r="AM12" s="1008"/>
      <c r="AN12" s="1008"/>
      <c r="AO12" s="1008"/>
      <c r="AP12" s="1008"/>
      <c r="AQ12" s="1008"/>
      <c r="AR12" s="1008"/>
      <c r="AS12" s="1008"/>
      <c r="AU12" s="1011">
        <f t="shared" si="3"/>
        <v>1</v>
      </c>
      <c r="AV12" s="1008">
        <f t="shared" si="4"/>
        <v>10000000</v>
      </c>
      <c r="AW12" s="1008"/>
      <c r="AX12" s="1008"/>
      <c r="AY12" s="1008"/>
      <c r="AZ12" s="1008"/>
      <c r="BA12" s="1008"/>
      <c r="BB12" s="1008">
        <f>+'[11]ABRIL 2015'!$N$1193</f>
        <v>10000000</v>
      </c>
      <c r="BC12" s="1008"/>
      <c r="BD12" s="1008"/>
      <c r="BE12" s="1008"/>
      <c r="BF12" s="1008"/>
      <c r="BG12" s="1008"/>
      <c r="BH12" s="1008"/>
      <c r="BI12" s="1008"/>
      <c r="BJ12" s="1008"/>
      <c r="BK12" s="1008"/>
      <c r="BL12" s="1008"/>
      <c r="BM12" s="1008"/>
      <c r="BN12" s="1008"/>
      <c r="BO12" s="1008"/>
      <c r="BP12" s="1008"/>
      <c r="BQ12" s="1011">
        <f t="shared" si="5"/>
        <v>0</v>
      </c>
      <c r="BR12" s="1008">
        <f t="shared" si="6"/>
        <v>0</v>
      </c>
      <c r="BS12" s="1008">
        <f t="shared" si="7"/>
        <v>0</v>
      </c>
      <c r="BT12" s="1008">
        <f t="shared" si="8"/>
        <v>0</v>
      </c>
      <c r="BU12" s="1008"/>
      <c r="BV12" s="1008">
        <f t="shared" si="9"/>
        <v>0</v>
      </c>
      <c r="BW12" s="1008"/>
      <c r="BX12" s="1008">
        <f t="shared" si="10"/>
        <v>0</v>
      </c>
      <c r="BY12" s="1008">
        <f t="shared" si="10"/>
        <v>0</v>
      </c>
      <c r="BZ12" s="1008"/>
      <c r="CA12" s="1008"/>
      <c r="CB12" s="1008"/>
      <c r="CC12" s="1008"/>
      <c r="CD12" s="1008">
        <f t="shared" si="11"/>
        <v>0</v>
      </c>
      <c r="CE12" s="1008">
        <f t="shared" si="11"/>
        <v>0</v>
      </c>
      <c r="CF12" s="1008">
        <f t="shared" si="11"/>
        <v>0</v>
      </c>
      <c r="CG12" s="1008">
        <f t="shared" si="11"/>
        <v>0</v>
      </c>
      <c r="CH12" s="1008">
        <f t="shared" si="11"/>
        <v>0</v>
      </c>
      <c r="CI12" s="1008">
        <f t="shared" si="11"/>
        <v>0</v>
      </c>
      <c r="CJ12" s="1008"/>
      <c r="CK12" s="1008"/>
      <c r="CL12" s="1008">
        <f t="shared" si="12"/>
        <v>0</v>
      </c>
      <c r="CM12" s="1011">
        <f t="shared" si="13"/>
        <v>1</v>
      </c>
      <c r="CN12" s="1008">
        <f t="shared" si="14"/>
        <v>10000000</v>
      </c>
      <c r="CO12" s="1008"/>
      <c r="CP12" s="1008"/>
      <c r="CQ12" s="1008"/>
      <c r="CR12" s="1008"/>
      <c r="CS12" s="1008"/>
      <c r="CT12" s="1008">
        <f>+'[11]ABRIL 2015'!$H$1194</f>
        <v>10000000</v>
      </c>
      <c r="CU12" s="1008"/>
      <c r="CV12" s="1008"/>
      <c r="CW12" s="1008"/>
      <c r="CX12" s="1008"/>
      <c r="CY12" s="1008"/>
      <c r="CZ12" s="1008"/>
      <c r="DA12" s="1008"/>
      <c r="DB12" s="1008"/>
      <c r="DC12" s="1008"/>
      <c r="DD12" s="1008"/>
      <c r="DE12" s="1008"/>
      <c r="DF12" s="1008"/>
      <c r="DG12" s="1008"/>
      <c r="DH12" s="1008"/>
      <c r="DI12" s="1011">
        <f t="shared" si="15"/>
        <v>0</v>
      </c>
      <c r="DJ12" s="1008">
        <f t="shared" si="16"/>
        <v>0</v>
      </c>
      <c r="DK12" s="1008">
        <f t="shared" si="17"/>
        <v>0</v>
      </c>
      <c r="DL12" s="1008">
        <f t="shared" si="17"/>
        <v>0</v>
      </c>
      <c r="DM12" s="1008"/>
      <c r="DN12" s="1008">
        <f t="shared" si="18"/>
        <v>0</v>
      </c>
      <c r="DO12" s="1008">
        <f t="shared" si="18"/>
        <v>0</v>
      </c>
      <c r="DP12" s="1008">
        <f t="shared" si="18"/>
        <v>0</v>
      </c>
      <c r="DQ12" s="1008">
        <f t="shared" si="18"/>
        <v>0</v>
      </c>
      <c r="DR12" s="1008"/>
      <c r="DS12" s="1008">
        <f t="shared" si="19"/>
        <v>0</v>
      </c>
      <c r="DT12" s="1008">
        <f t="shared" si="19"/>
        <v>0</v>
      </c>
      <c r="DU12" s="1008"/>
      <c r="DV12" s="1008">
        <f t="shared" si="20"/>
        <v>0</v>
      </c>
      <c r="DW12" s="1008">
        <f t="shared" si="20"/>
        <v>0</v>
      </c>
      <c r="DX12" s="1008">
        <f t="shared" si="20"/>
        <v>0</v>
      </c>
      <c r="DY12" s="1008">
        <f t="shared" si="21"/>
        <v>0</v>
      </c>
      <c r="DZ12" s="1008">
        <f t="shared" si="21"/>
        <v>0</v>
      </c>
      <c r="EA12" s="1008">
        <f t="shared" si="21"/>
        <v>0</v>
      </c>
      <c r="EB12" s="1008">
        <f t="shared" si="21"/>
        <v>0</v>
      </c>
      <c r="EC12" s="1008"/>
      <c r="ED12" s="1008">
        <f t="shared" si="22"/>
        <v>0</v>
      </c>
    </row>
    <row r="13" spans="1:134" ht="50.25" customHeight="1" x14ac:dyDescent="0.25">
      <c r="A13" s="1562"/>
      <c r="B13" s="1021"/>
      <c r="C13" s="1116" t="s">
        <v>4594</v>
      </c>
      <c r="D13" s="1019" t="s">
        <v>4564</v>
      </c>
      <c r="E13" s="1020">
        <v>510</v>
      </c>
      <c r="F13" s="1120" t="s">
        <v>4660</v>
      </c>
      <c r="G13" s="1400"/>
      <c r="H13" s="1061">
        <f t="shared" si="0"/>
        <v>8601149</v>
      </c>
      <c r="I13" s="1061">
        <f t="shared" si="1"/>
        <v>21398851</v>
      </c>
      <c r="J13" s="1400"/>
      <c r="K13" s="1573"/>
      <c r="L13" s="1573"/>
      <c r="M13" s="1115">
        <v>0</v>
      </c>
      <c r="N13" s="1115">
        <v>0</v>
      </c>
      <c r="O13" s="1115">
        <v>0</v>
      </c>
      <c r="P13" s="1115">
        <v>0</v>
      </c>
      <c r="Q13" s="1115">
        <v>0</v>
      </c>
      <c r="R13" s="1115">
        <v>0</v>
      </c>
      <c r="S13" s="1120"/>
      <c r="T13" s="1120"/>
      <c r="U13" s="1120"/>
      <c r="V13" s="1120"/>
      <c r="W13" s="1120"/>
      <c r="X13" s="1120"/>
      <c r="Y13" s="1008">
        <f t="shared" si="2"/>
        <v>30000000</v>
      </c>
      <c r="Z13" s="1008"/>
      <c r="AA13" s="1008"/>
      <c r="AB13" s="1008"/>
      <c r="AC13" s="1008"/>
      <c r="AD13" s="1008"/>
      <c r="AE13" s="1008">
        <v>30000000</v>
      </c>
      <c r="AF13" s="1008"/>
      <c r="AG13" s="1008"/>
      <c r="AH13" s="1008"/>
      <c r="AI13" s="1008"/>
      <c r="AJ13" s="1008"/>
      <c r="AK13" s="1008"/>
      <c r="AL13" s="1008"/>
      <c r="AM13" s="1008"/>
      <c r="AN13" s="1008"/>
      <c r="AO13" s="1008"/>
      <c r="AP13" s="1008"/>
      <c r="AQ13" s="1008"/>
      <c r="AR13" s="1008"/>
      <c r="AS13" s="1008"/>
      <c r="AU13" s="1011">
        <f t="shared" si="3"/>
        <v>0.38755830000000002</v>
      </c>
      <c r="AV13" s="1008">
        <f t="shared" si="4"/>
        <v>11626749</v>
      </c>
      <c r="AW13" s="1008"/>
      <c r="AX13" s="1008"/>
      <c r="AY13" s="1008"/>
      <c r="AZ13" s="1008"/>
      <c r="BA13" s="1008"/>
      <c r="BB13" s="1008">
        <f>+'[18]OCTUBRE 2015'!$O$2905</f>
        <v>11626749</v>
      </c>
      <c r="BC13" s="1008"/>
      <c r="BD13" s="1008"/>
      <c r="BE13" s="1008"/>
      <c r="BF13" s="1008"/>
      <c r="BG13" s="1008"/>
      <c r="BH13" s="1008"/>
      <c r="BI13" s="1008"/>
      <c r="BJ13" s="1008"/>
      <c r="BK13" s="1008"/>
      <c r="BL13" s="1008"/>
      <c r="BM13" s="1008"/>
      <c r="BN13" s="1008"/>
      <c r="BO13" s="1008"/>
      <c r="BP13" s="1008"/>
      <c r="BQ13" s="1011">
        <f t="shared" si="5"/>
        <v>0.61244169999999998</v>
      </c>
      <c r="BR13" s="1008">
        <f t="shared" si="6"/>
        <v>18373251</v>
      </c>
      <c r="BS13" s="1008">
        <f t="shared" si="7"/>
        <v>0</v>
      </c>
      <c r="BT13" s="1008">
        <f t="shared" si="8"/>
        <v>0</v>
      </c>
      <c r="BU13" s="1008"/>
      <c r="BV13" s="1008">
        <f t="shared" si="9"/>
        <v>0</v>
      </c>
      <c r="BW13" s="1008"/>
      <c r="BX13" s="1008">
        <f t="shared" si="10"/>
        <v>18373251</v>
      </c>
      <c r="BY13" s="1008">
        <f t="shared" si="10"/>
        <v>0</v>
      </c>
      <c r="BZ13" s="1008"/>
      <c r="CA13" s="1008"/>
      <c r="CB13" s="1008"/>
      <c r="CC13" s="1008"/>
      <c r="CD13" s="1008">
        <f t="shared" si="11"/>
        <v>0</v>
      </c>
      <c r="CE13" s="1008">
        <f t="shared" si="11"/>
        <v>0</v>
      </c>
      <c r="CF13" s="1008">
        <f t="shared" si="11"/>
        <v>0</v>
      </c>
      <c r="CG13" s="1008">
        <f t="shared" si="11"/>
        <v>0</v>
      </c>
      <c r="CH13" s="1008">
        <f t="shared" si="11"/>
        <v>0</v>
      </c>
      <c r="CI13" s="1008">
        <f t="shared" si="11"/>
        <v>0</v>
      </c>
      <c r="CJ13" s="1008"/>
      <c r="CK13" s="1008"/>
      <c r="CL13" s="1008">
        <f t="shared" si="12"/>
        <v>0</v>
      </c>
      <c r="CM13" s="1011">
        <f t="shared" si="13"/>
        <v>0.28670496666666667</v>
      </c>
      <c r="CN13" s="1008">
        <f t="shared" si="14"/>
        <v>8601149</v>
      </c>
      <c r="CO13" s="1008"/>
      <c r="CP13" s="1008"/>
      <c r="CQ13" s="1008"/>
      <c r="CR13" s="1008"/>
      <c r="CS13" s="1008"/>
      <c r="CT13" s="1008">
        <f>+'[18]OCTUBRE 2015'!$H$2903</f>
        <v>8601149</v>
      </c>
      <c r="CU13" s="1008"/>
      <c r="CV13" s="1008"/>
      <c r="CW13" s="1008"/>
      <c r="CX13" s="1008"/>
      <c r="CY13" s="1008"/>
      <c r="CZ13" s="1008"/>
      <c r="DA13" s="1008"/>
      <c r="DB13" s="1008"/>
      <c r="DC13" s="1008"/>
      <c r="DD13" s="1008"/>
      <c r="DE13" s="1008"/>
      <c r="DF13" s="1008"/>
      <c r="DG13" s="1008"/>
      <c r="DH13" s="1008"/>
      <c r="DI13" s="1011">
        <f t="shared" si="15"/>
        <v>0.71329503333333333</v>
      </c>
      <c r="DJ13" s="1008">
        <f t="shared" si="16"/>
        <v>21398851</v>
      </c>
      <c r="DK13" s="1008">
        <f t="shared" si="17"/>
        <v>0</v>
      </c>
      <c r="DL13" s="1008">
        <f t="shared" si="17"/>
        <v>0</v>
      </c>
      <c r="DM13" s="1008"/>
      <c r="DN13" s="1008">
        <f t="shared" si="18"/>
        <v>0</v>
      </c>
      <c r="DO13" s="1008">
        <f t="shared" si="18"/>
        <v>0</v>
      </c>
      <c r="DP13" s="1008">
        <f t="shared" si="18"/>
        <v>21398851</v>
      </c>
      <c r="DQ13" s="1008">
        <f t="shared" si="18"/>
        <v>0</v>
      </c>
      <c r="DR13" s="1008"/>
      <c r="DS13" s="1008">
        <f t="shared" si="19"/>
        <v>0</v>
      </c>
      <c r="DT13" s="1008">
        <f t="shared" si="19"/>
        <v>0</v>
      </c>
      <c r="DU13" s="1008"/>
      <c r="DV13" s="1008">
        <f t="shared" si="20"/>
        <v>0</v>
      </c>
      <c r="DW13" s="1008">
        <f t="shared" si="20"/>
        <v>0</v>
      </c>
      <c r="DX13" s="1008">
        <f t="shared" si="20"/>
        <v>0</v>
      </c>
      <c r="DY13" s="1008">
        <f t="shared" si="21"/>
        <v>0</v>
      </c>
      <c r="DZ13" s="1008">
        <f t="shared" si="21"/>
        <v>0</v>
      </c>
      <c r="EA13" s="1008">
        <f t="shared" si="21"/>
        <v>0</v>
      </c>
      <c r="EB13" s="1008">
        <f t="shared" si="21"/>
        <v>0</v>
      </c>
      <c r="EC13" s="1008"/>
      <c r="ED13" s="1008">
        <f t="shared" si="22"/>
        <v>0</v>
      </c>
    </row>
    <row r="14" spans="1:134" ht="39" customHeight="1" x14ac:dyDescent="0.25">
      <c r="A14" s="1562"/>
      <c r="B14" s="1021"/>
      <c r="C14" s="1116" t="s">
        <v>4595</v>
      </c>
      <c r="D14" s="1019" t="s">
        <v>4565</v>
      </c>
      <c r="E14" s="1020">
        <v>510</v>
      </c>
      <c r="F14" s="1120" t="s">
        <v>4660</v>
      </c>
      <c r="G14" s="1400"/>
      <c r="H14" s="1061">
        <f t="shared" si="0"/>
        <v>0</v>
      </c>
      <c r="I14" s="1061">
        <f t="shared" si="1"/>
        <v>15000000</v>
      </c>
      <c r="J14" s="1400"/>
      <c r="K14" s="1573"/>
      <c r="L14" s="1573"/>
      <c r="M14" s="1115">
        <v>0</v>
      </c>
      <c r="N14" s="1115">
        <v>0</v>
      </c>
      <c r="O14" s="1115">
        <v>0</v>
      </c>
      <c r="P14" s="1115">
        <v>0</v>
      </c>
      <c r="Q14" s="1115">
        <v>0</v>
      </c>
      <c r="R14" s="1115">
        <v>0</v>
      </c>
      <c r="S14" s="1120"/>
      <c r="T14" s="1120"/>
      <c r="U14" s="1120"/>
      <c r="V14" s="1120"/>
      <c r="W14" s="1120"/>
      <c r="X14" s="1120"/>
      <c r="Y14" s="1008">
        <f t="shared" si="2"/>
        <v>15000000</v>
      </c>
      <c r="Z14" s="1008"/>
      <c r="AA14" s="1008"/>
      <c r="AB14" s="1008"/>
      <c r="AC14" s="1008"/>
      <c r="AD14" s="1008"/>
      <c r="AE14" s="1008">
        <v>15000000</v>
      </c>
      <c r="AF14" s="1008"/>
      <c r="AG14" s="1008"/>
      <c r="AH14" s="1008"/>
      <c r="AI14" s="1008"/>
      <c r="AJ14" s="1008"/>
      <c r="AK14" s="1008"/>
      <c r="AL14" s="1008"/>
      <c r="AM14" s="1008"/>
      <c r="AN14" s="1008"/>
      <c r="AO14" s="1008"/>
      <c r="AP14" s="1008"/>
      <c r="AQ14" s="1008"/>
      <c r="AR14" s="1008"/>
      <c r="AS14" s="1008"/>
      <c r="AU14" s="1011">
        <f t="shared" si="3"/>
        <v>0</v>
      </c>
      <c r="AV14" s="1008">
        <f t="shared" si="4"/>
        <v>0</v>
      </c>
      <c r="AW14" s="1008"/>
      <c r="AX14" s="1008"/>
      <c r="AY14" s="1008"/>
      <c r="AZ14" s="1008"/>
      <c r="BA14" s="1008"/>
      <c r="BB14" s="1008"/>
      <c r="BC14" s="1008"/>
      <c r="BD14" s="1008"/>
      <c r="BE14" s="1008"/>
      <c r="BF14" s="1008"/>
      <c r="BG14" s="1008"/>
      <c r="BH14" s="1008"/>
      <c r="BI14" s="1008"/>
      <c r="BJ14" s="1008"/>
      <c r="BK14" s="1008"/>
      <c r="BL14" s="1008"/>
      <c r="BM14" s="1008"/>
      <c r="BN14" s="1008"/>
      <c r="BO14" s="1008"/>
      <c r="BP14" s="1008"/>
      <c r="BQ14" s="1011">
        <f t="shared" si="5"/>
        <v>1</v>
      </c>
      <c r="BR14" s="1008">
        <f t="shared" si="6"/>
        <v>15000000</v>
      </c>
      <c r="BS14" s="1008">
        <f t="shared" si="7"/>
        <v>0</v>
      </c>
      <c r="BT14" s="1008">
        <f t="shared" si="8"/>
        <v>0</v>
      </c>
      <c r="BU14" s="1008"/>
      <c r="BV14" s="1008">
        <f t="shared" si="9"/>
        <v>0</v>
      </c>
      <c r="BW14" s="1008"/>
      <c r="BX14" s="1008">
        <f t="shared" si="10"/>
        <v>15000000</v>
      </c>
      <c r="BY14" s="1008">
        <f t="shared" si="10"/>
        <v>0</v>
      </c>
      <c r="BZ14" s="1008"/>
      <c r="CA14" s="1008"/>
      <c r="CB14" s="1008"/>
      <c r="CC14" s="1008"/>
      <c r="CD14" s="1008">
        <f t="shared" si="11"/>
        <v>0</v>
      </c>
      <c r="CE14" s="1008">
        <f t="shared" si="11"/>
        <v>0</v>
      </c>
      <c r="CF14" s="1008">
        <f t="shared" si="11"/>
        <v>0</v>
      </c>
      <c r="CG14" s="1008">
        <f t="shared" si="11"/>
        <v>0</v>
      </c>
      <c r="CH14" s="1008">
        <f t="shared" si="11"/>
        <v>0</v>
      </c>
      <c r="CI14" s="1008">
        <f t="shared" si="11"/>
        <v>0</v>
      </c>
      <c r="CJ14" s="1008"/>
      <c r="CK14" s="1008"/>
      <c r="CL14" s="1008">
        <f t="shared" si="12"/>
        <v>0</v>
      </c>
      <c r="CM14" s="1011">
        <f t="shared" si="13"/>
        <v>0</v>
      </c>
      <c r="CN14" s="1008">
        <f t="shared" si="14"/>
        <v>0</v>
      </c>
      <c r="CO14" s="1008"/>
      <c r="CP14" s="1008"/>
      <c r="CQ14" s="1008"/>
      <c r="CR14" s="1008"/>
      <c r="CS14" s="1008"/>
      <c r="CT14" s="1008"/>
      <c r="CU14" s="1008"/>
      <c r="CV14" s="1008"/>
      <c r="CW14" s="1008"/>
      <c r="CX14" s="1008"/>
      <c r="CY14" s="1008"/>
      <c r="CZ14" s="1008"/>
      <c r="DA14" s="1008"/>
      <c r="DB14" s="1008"/>
      <c r="DC14" s="1008"/>
      <c r="DD14" s="1008"/>
      <c r="DE14" s="1008"/>
      <c r="DF14" s="1008"/>
      <c r="DG14" s="1008"/>
      <c r="DH14" s="1008"/>
      <c r="DI14" s="1011">
        <f t="shared" si="15"/>
        <v>1</v>
      </c>
      <c r="DJ14" s="1008">
        <f t="shared" si="16"/>
        <v>15000000</v>
      </c>
      <c r="DK14" s="1008">
        <f t="shared" si="17"/>
        <v>0</v>
      </c>
      <c r="DL14" s="1008">
        <f t="shared" si="17"/>
        <v>0</v>
      </c>
      <c r="DM14" s="1008"/>
      <c r="DN14" s="1008">
        <f t="shared" si="18"/>
        <v>0</v>
      </c>
      <c r="DO14" s="1008">
        <f t="shared" si="18"/>
        <v>0</v>
      </c>
      <c r="DP14" s="1008">
        <f t="shared" si="18"/>
        <v>15000000</v>
      </c>
      <c r="DQ14" s="1008">
        <f t="shared" si="18"/>
        <v>0</v>
      </c>
      <c r="DR14" s="1008"/>
      <c r="DS14" s="1008">
        <f t="shared" si="19"/>
        <v>0</v>
      </c>
      <c r="DT14" s="1008">
        <f t="shared" si="19"/>
        <v>0</v>
      </c>
      <c r="DU14" s="1008"/>
      <c r="DV14" s="1008">
        <f t="shared" si="20"/>
        <v>0</v>
      </c>
      <c r="DW14" s="1008">
        <f t="shared" si="20"/>
        <v>0</v>
      </c>
      <c r="DX14" s="1008">
        <f t="shared" si="20"/>
        <v>0</v>
      </c>
      <c r="DY14" s="1008">
        <f t="shared" si="21"/>
        <v>0</v>
      </c>
      <c r="DZ14" s="1008">
        <f t="shared" si="21"/>
        <v>0</v>
      </c>
      <c r="EA14" s="1008">
        <f t="shared" si="21"/>
        <v>0</v>
      </c>
      <c r="EB14" s="1008">
        <f t="shared" si="21"/>
        <v>0</v>
      </c>
      <c r="EC14" s="1008"/>
      <c r="ED14" s="1008">
        <f t="shared" si="22"/>
        <v>0</v>
      </c>
    </row>
    <row r="15" spans="1:134" ht="34.5" customHeight="1" x14ac:dyDescent="0.25">
      <c r="A15" s="1562"/>
      <c r="B15" s="1021"/>
      <c r="C15" s="1116" t="s">
        <v>4596</v>
      </c>
      <c r="D15" s="1019" t="s">
        <v>4586</v>
      </c>
      <c r="E15" s="1020">
        <v>510</v>
      </c>
      <c r="F15" s="1120" t="s">
        <v>4660</v>
      </c>
      <c r="G15" s="1400"/>
      <c r="H15" s="1061">
        <f t="shared" si="0"/>
        <v>0</v>
      </c>
      <c r="I15" s="1061">
        <f t="shared" si="1"/>
        <v>10000000</v>
      </c>
      <c r="J15" s="1400"/>
      <c r="K15" s="1573"/>
      <c r="L15" s="1573"/>
      <c r="M15" s="1115">
        <v>0</v>
      </c>
      <c r="N15" s="1115">
        <v>0</v>
      </c>
      <c r="O15" s="1115">
        <v>0</v>
      </c>
      <c r="P15" s="1115">
        <v>0</v>
      </c>
      <c r="Q15" s="1115">
        <v>0</v>
      </c>
      <c r="R15" s="1115">
        <v>0</v>
      </c>
      <c r="S15" s="1120"/>
      <c r="T15" s="1120"/>
      <c r="U15" s="1120"/>
      <c r="V15" s="1120"/>
      <c r="W15" s="1120"/>
      <c r="X15" s="1120"/>
      <c r="Y15" s="1008">
        <f t="shared" si="2"/>
        <v>10000000</v>
      </c>
      <c r="Z15" s="1008"/>
      <c r="AA15" s="1008"/>
      <c r="AB15" s="1008"/>
      <c r="AC15" s="1008"/>
      <c r="AD15" s="1008"/>
      <c r="AE15" s="1008">
        <v>10000000</v>
      </c>
      <c r="AF15" s="1008"/>
      <c r="AG15" s="1008"/>
      <c r="AH15" s="1008"/>
      <c r="AI15" s="1008"/>
      <c r="AJ15" s="1008"/>
      <c r="AK15" s="1008"/>
      <c r="AL15" s="1008"/>
      <c r="AM15" s="1008"/>
      <c r="AN15" s="1008"/>
      <c r="AO15" s="1008"/>
      <c r="AP15" s="1008"/>
      <c r="AQ15" s="1008"/>
      <c r="AR15" s="1008"/>
      <c r="AS15" s="1008"/>
      <c r="AU15" s="1011">
        <f t="shared" si="3"/>
        <v>0</v>
      </c>
      <c r="AV15" s="1008">
        <f t="shared" si="4"/>
        <v>0</v>
      </c>
      <c r="AW15" s="1008"/>
      <c r="AX15" s="1008"/>
      <c r="AY15" s="1008"/>
      <c r="AZ15" s="1008"/>
      <c r="BA15" s="1008"/>
      <c r="BB15" s="1008"/>
      <c r="BC15" s="1008"/>
      <c r="BD15" s="1008"/>
      <c r="BE15" s="1008"/>
      <c r="BF15" s="1008"/>
      <c r="BG15" s="1008"/>
      <c r="BH15" s="1008"/>
      <c r="BI15" s="1008"/>
      <c r="BJ15" s="1008"/>
      <c r="BK15" s="1008"/>
      <c r="BL15" s="1008"/>
      <c r="BM15" s="1008"/>
      <c r="BN15" s="1008"/>
      <c r="BO15" s="1008"/>
      <c r="BP15" s="1008"/>
      <c r="BQ15" s="1011">
        <f t="shared" si="5"/>
        <v>1</v>
      </c>
      <c r="BR15" s="1008">
        <f t="shared" si="6"/>
        <v>10000000</v>
      </c>
      <c r="BS15" s="1008">
        <f t="shared" si="7"/>
        <v>0</v>
      </c>
      <c r="BT15" s="1008">
        <f t="shared" si="8"/>
        <v>0</v>
      </c>
      <c r="BU15" s="1008"/>
      <c r="BV15" s="1008">
        <f t="shared" si="9"/>
        <v>0</v>
      </c>
      <c r="BW15" s="1008"/>
      <c r="BX15" s="1008">
        <f t="shared" si="10"/>
        <v>10000000</v>
      </c>
      <c r="BY15" s="1008">
        <f t="shared" si="10"/>
        <v>0</v>
      </c>
      <c r="BZ15" s="1008"/>
      <c r="CA15" s="1008"/>
      <c r="CB15" s="1008"/>
      <c r="CC15" s="1008"/>
      <c r="CD15" s="1008">
        <f t="shared" si="11"/>
        <v>0</v>
      </c>
      <c r="CE15" s="1008">
        <f t="shared" si="11"/>
        <v>0</v>
      </c>
      <c r="CF15" s="1008">
        <f t="shared" si="11"/>
        <v>0</v>
      </c>
      <c r="CG15" s="1008">
        <f t="shared" si="11"/>
        <v>0</v>
      </c>
      <c r="CH15" s="1008">
        <f t="shared" si="11"/>
        <v>0</v>
      </c>
      <c r="CI15" s="1008">
        <f t="shared" si="11"/>
        <v>0</v>
      </c>
      <c r="CJ15" s="1008"/>
      <c r="CK15" s="1008"/>
      <c r="CL15" s="1008">
        <f t="shared" si="12"/>
        <v>0</v>
      </c>
      <c r="CM15" s="1011">
        <f t="shared" si="13"/>
        <v>0</v>
      </c>
      <c r="CN15" s="1008">
        <f t="shared" si="14"/>
        <v>0</v>
      </c>
      <c r="CO15" s="1008"/>
      <c r="CP15" s="1008"/>
      <c r="CQ15" s="1008"/>
      <c r="CR15" s="1008"/>
      <c r="CS15" s="1008"/>
      <c r="CT15" s="1008"/>
      <c r="CU15" s="1008"/>
      <c r="CV15" s="1008"/>
      <c r="CW15" s="1008"/>
      <c r="CX15" s="1008"/>
      <c r="CY15" s="1008"/>
      <c r="CZ15" s="1008"/>
      <c r="DA15" s="1008"/>
      <c r="DB15" s="1008"/>
      <c r="DC15" s="1008"/>
      <c r="DD15" s="1008"/>
      <c r="DE15" s="1008"/>
      <c r="DF15" s="1008"/>
      <c r="DG15" s="1008"/>
      <c r="DH15" s="1008"/>
      <c r="DI15" s="1011">
        <f t="shared" si="15"/>
        <v>1</v>
      </c>
      <c r="DJ15" s="1008">
        <f t="shared" si="16"/>
        <v>10000000</v>
      </c>
      <c r="DK15" s="1008">
        <f t="shared" si="17"/>
        <v>0</v>
      </c>
      <c r="DL15" s="1008">
        <f t="shared" si="17"/>
        <v>0</v>
      </c>
      <c r="DM15" s="1008"/>
      <c r="DN15" s="1008">
        <f t="shared" si="18"/>
        <v>0</v>
      </c>
      <c r="DO15" s="1008">
        <f t="shared" si="18"/>
        <v>0</v>
      </c>
      <c r="DP15" s="1008">
        <f t="shared" si="18"/>
        <v>10000000</v>
      </c>
      <c r="DQ15" s="1008">
        <f t="shared" si="18"/>
        <v>0</v>
      </c>
      <c r="DR15" s="1008"/>
      <c r="DS15" s="1008">
        <f t="shared" si="19"/>
        <v>0</v>
      </c>
      <c r="DT15" s="1008">
        <f t="shared" si="19"/>
        <v>0</v>
      </c>
      <c r="DU15" s="1008"/>
      <c r="DV15" s="1008">
        <f t="shared" si="20"/>
        <v>0</v>
      </c>
      <c r="DW15" s="1008">
        <f t="shared" si="20"/>
        <v>0</v>
      </c>
      <c r="DX15" s="1008">
        <f t="shared" si="20"/>
        <v>0</v>
      </c>
      <c r="DY15" s="1008">
        <f t="shared" si="21"/>
        <v>0</v>
      </c>
      <c r="DZ15" s="1008">
        <f t="shared" si="21"/>
        <v>0</v>
      </c>
      <c r="EA15" s="1008">
        <f t="shared" si="21"/>
        <v>0</v>
      </c>
      <c r="EB15" s="1008">
        <f t="shared" si="21"/>
        <v>0</v>
      </c>
      <c r="EC15" s="1008"/>
      <c r="ED15" s="1008">
        <f t="shared" si="22"/>
        <v>0</v>
      </c>
    </row>
    <row r="16" spans="1:134" s="203" customFormat="1" ht="29.25" customHeight="1" x14ac:dyDescent="0.25">
      <c r="A16" s="1562"/>
      <c r="B16" s="1080"/>
      <c r="C16" s="1081" t="s">
        <v>4685</v>
      </c>
      <c r="D16" s="1019" t="s">
        <v>4697</v>
      </c>
      <c r="E16" s="1020">
        <v>510</v>
      </c>
      <c r="F16" s="1120" t="s">
        <v>4660</v>
      </c>
      <c r="G16" s="1401"/>
      <c r="H16" s="1061">
        <f t="shared" si="0"/>
        <v>0</v>
      </c>
      <c r="I16" s="1061">
        <f t="shared" si="1"/>
        <v>0</v>
      </c>
      <c r="J16" s="1401"/>
      <c r="K16" s="1284"/>
      <c r="L16" s="1284"/>
      <c r="M16" s="1075">
        <v>0</v>
      </c>
      <c r="N16" s="1075">
        <v>0</v>
      </c>
      <c r="O16" s="1075">
        <v>0</v>
      </c>
      <c r="P16" s="1075"/>
      <c r="Q16" s="1075"/>
      <c r="R16" s="1075"/>
      <c r="S16" s="1120"/>
      <c r="T16" s="1120"/>
      <c r="U16" s="1120"/>
      <c r="V16" s="1120"/>
      <c r="W16" s="1120"/>
      <c r="X16" s="1120"/>
      <c r="Y16" s="1067">
        <f t="shared" si="2"/>
        <v>0</v>
      </c>
      <c r="Z16" s="1067"/>
      <c r="AA16" s="1067"/>
      <c r="AB16" s="1067"/>
      <c r="AC16" s="1067"/>
      <c r="AD16" s="1067"/>
      <c r="AE16" s="1067"/>
      <c r="AF16" s="1067"/>
      <c r="AG16" s="1067"/>
      <c r="AH16" s="1067"/>
      <c r="AI16" s="1067"/>
      <c r="AJ16" s="1067"/>
      <c r="AK16" s="1067"/>
      <c r="AL16" s="1067"/>
      <c r="AM16" s="1067"/>
      <c r="AN16" s="1067">
        <f>100000000-100000000</f>
        <v>0</v>
      </c>
      <c r="AO16" s="1067"/>
      <c r="AP16" s="1067"/>
      <c r="AQ16" s="1067"/>
      <c r="AR16" s="1067"/>
      <c r="AS16" s="1067"/>
      <c r="AU16" s="1082">
        <v>0</v>
      </c>
      <c r="AV16" s="1067">
        <f t="shared" si="4"/>
        <v>0</v>
      </c>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82">
        <v>0</v>
      </c>
      <c r="BR16" s="1067">
        <f t="shared" si="6"/>
        <v>0</v>
      </c>
      <c r="BS16" s="1067">
        <f t="shared" si="7"/>
        <v>0</v>
      </c>
      <c r="BT16" s="1067">
        <f t="shared" si="8"/>
        <v>0</v>
      </c>
      <c r="BU16" s="1067"/>
      <c r="BV16" s="1067">
        <f t="shared" si="9"/>
        <v>0</v>
      </c>
      <c r="BW16" s="1067"/>
      <c r="BX16" s="1067">
        <f t="shared" si="10"/>
        <v>0</v>
      </c>
      <c r="BY16" s="1067">
        <f t="shared" si="10"/>
        <v>0</v>
      </c>
      <c r="BZ16" s="1067"/>
      <c r="CA16" s="1067"/>
      <c r="CB16" s="1067"/>
      <c r="CC16" s="1067"/>
      <c r="CD16" s="1067">
        <f t="shared" si="11"/>
        <v>0</v>
      </c>
      <c r="CE16" s="1067">
        <f t="shared" si="11"/>
        <v>0</v>
      </c>
      <c r="CF16" s="1067">
        <f t="shared" si="11"/>
        <v>0</v>
      </c>
      <c r="CG16" s="1067">
        <f t="shared" si="11"/>
        <v>0</v>
      </c>
      <c r="CH16" s="1067">
        <f t="shared" si="11"/>
        <v>0</v>
      </c>
      <c r="CI16" s="1067">
        <f t="shared" si="11"/>
        <v>0</v>
      </c>
      <c r="CJ16" s="1067"/>
      <c r="CK16" s="1067"/>
      <c r="CL16" s="1067">
        <f t="shared" si="12"/>
        <v>0</v>
      </c>
      <c r="CM16" s="1082">
        <v>0</v>
      </c>
      <c r="CN16" s="1067">
        <f t="shared" si="14"/>
        <v>0</v>
      </c>
      <c r="CO16" s="1067"/>
      <c r="CP16" s="1067"/>
      <c r="CQ16" s="1067"/>
      <c r="CR16" s="1067"/>
      <c r="CS16" s="1067"/>
      <c r="CT16" s="1067"/>
      <c r="CU16" s="1067"/>
      <c r="CV16" s="1067"/>
      <c r="CW16" s="1067"/>
      <c r="CX16" s="1067"/>
      <c r="CY16" s="1067"/>
      <c r="CZ16" s="1067"/>
      <c r="DA16" s="1067"/>
      <c r="DB16" s="1067"/>
      <c r="DC16" s="1067"/>
      <c r="DD16" s="1067"/>
      <c r="DE16" s="1067"/>
      <c r="DF16" s="1067"/>
      <c r="DG16" s="1067"/>
      <c r="DH16" s="1067"/>
      <c r="DI16" s="1082">
        <v>0</v>
      </c>
      <c r="DJ16" s="1067">
        <f t="shared" si="16"/>
        <v>0</v>
      </c>
      <c r="DK16" s="1067">
        <f t="shared" si="17"/>
        <v>0</v>
      </c>
      <c r="DL16" s="1067">
        <f t="shared" si="17"/>
        <v>0</v>
      </c>
      <c r="DM16" s="1067"/>
      <c r="DN16" s="1067">
        <f t="shared" si="18"/>
        <v>0</v>
      </c>
      <c r="DO16" s="1067">
        <f t="shared" si="18"/>
        <v>0</v>
      </c>
      <c r="DP16" s="1067">
        <f t="shared" si="18"/>
        <v>0</v>
      </c>
      <c r="DQ16" s="1067">
        <f t="shared" si="18"/>
        <v>0</v>
      </c>
      <c r="DR16" s="1067"/>
      <c r="DS16" s="1067">
        <f t="shared" si="19"/>
        <v>0</v>
      </c>
      <c r="DT16" s="1067">
        <f t="shared" si="19"/>
        <v>0</v>
      </c>
      <c r="DU16" s="1067"/>
      <c r="DV16" s="1067">
        <f t="shared" si="20"/>
        <v>0</v>
      </c>
      <c r="DW16" s="1067">
        <f t="shared" si="20"/>
        <v>0</v>
      </c>
      <c r="DX16" s="1067">
        <f t="shared" si="20"/>
        <v>0</v>
      </c>
      <c r="DY16" s="1067">
        <f t="shared" si="21"/>
        <v>0</v>
      </c>
      <c r="DZ16" s="1067">
        <f t="shared" si="21"/>
        <v>0</v>
      </c>
      <c r="EA16" s="1067">
        <f t="shared" si="21"/>
        <v>0</v>
      </c>
      <c r="EB16" s="1067">
        <f t="shared" si="21"/>
        <v>0</v>
      </c>
      <c r="EC16" s="1067"/>
      <c r="ED16" s="1067">
        <f t="shared" si="22"/>
        <v>0</v>
      </c>
    </row>
    <row r="17" spans="1:134" ht="66.75" customHeight="1" x14ac:dyDescent="0.25">
      <c r="A17" s="1562"/>
      <c r="B17" s="1065" t="s">
        <v>4301</v>
      </c>
      <c r="C17" s="1116" t="s">
        <v>4399</v>
      </c>
      <c r="D17" s="1019" t="s">
        <v>4683</v>
      </c>
      <c r="E17" s="1020">
        <v>310</v>
      </c>
      <c r="F17" s="1120" t="s">
        <v>4728</v>
      </c>
      <c r="G17" s="1399">
        <v>916000000</v>
      </c>
      <c r="H17" s="1061">
        <f t="shared" si="0"/>
        <v>374231666</v>
      </c>
      <c r="I17" s="1061">
        <f t="shared" si="1"/>
        <v>135691953</v>
      </c>
      <c r="J17" s="1399" t="s">
        <v>4763</v>
      </c>
      <c r="K17" s="1283" t="s">
        <v>4765</v>
      </c>
      <c r="L17" s="1283" t="s">
        <v>4764</v>
      </c>
      <c r="M17" s="1115">
        <v>12</v>
      </c>
      <c r="N17" s="1115">
        <v>0</v>
      </c>
      <c r="O17" s="1115">
        <v>0</v>
      </c>
      <c r="P17" s="1115">
        <v>16</v>
      </c>
      <c r="Q17" s="1115">
        <v>25</v>
      </c>
      <c r="R17" s="1115">
        <v>4</v>
      </c>
      <c r="S17" s="1124"/>
      <c r="T17" s="1124"/>
      <c r="U17" s="1124"/>
      <c r="V17" s="1124"/>
      <c r="W17" s="1124"/>
      <c r="X17" s="1124"/>
      <c r="Y17" s="1008">
        <f t="shared" si="2"/>
        <v>509923619</v>
      </c>
      <c r="Z17" s="1008"/>
      <c r="AA17" s="1008"/>
      <c r="AB17" s="1008"/>
      <c r="AC17" s="1008"/>
      <c r="AD17" s="1008"/>
      <c r="AE17" s="1008">
        <v>390000000</v>
      </c>
      <c r="AF17" s="1008"/>
      <c r="AG17" s="1008"/>
      <c r="AH17" s="1008"/>
      <c r="AI17" s="1008"/>
      <c r="AJ17" s="1008"/>
      <c r="AK17" s="1008"/>
      <c r="AL17" s="1008"/>
      <c r="AM17" s="1008"/>
      <c r="AN17" s="1008">
        <f>150000000-125000000</f>
        <v>25000000</v>
      </c>
      <c r="AO17" s="1008"/>
      <c r="AP17" s="1008"/>
      <c r="AQ17" s="1008"/>
      <c r="AR17" s="1008"/>
      <c r="AS17" s="1008">
        <f>12388298+18001909+6000000+20000000+3962083+17271329+17300000</f>
        <v>94923619</v>
      </c>
      <c r="AU17" s="1011">
        <f t="shared" si="3"/>
        <v>0.78230347278736267</v>
      </c>
      <c r="AV17" s="1008">
        <f t="shared" si="4"/>
        <v>398915018</v>
      </c>
      <c r="AW17" s="1008"/>
      <c r="AX17" s="1008"/>
      <c r="AY17" s="1008"/>
      <c r="AZ17" s="1008"/>
      <c r="BA17" s="1008"/>
      <c r="BB17" s="1008">
        <f>+'[18]OCTUBRE 2015'!$O$492</f>
        <v>309006302</v>
      </c>
      <c r="BC17" s="1008"/>
      <c r="BD17" s="1008"/>
      <c r="BE17" s="1008"/>
      <c r="BF17" s="1008"/>
      <c r="BG17" s="1008"/>
      <c r="BH17" s="1008"/>
      <c r="BI17" s="1008"/>
      <c r="BJ17" s="1008"/>
      <c r="BK17" s="1008"/>
      <c r="BL17" s="1008"/>
      <c r="BM17" s="1008"/>
      <c r="BN17" s="1008"/>
      <c r="BO17" s="1008"/>
      <c r="BP17" s="1008">
        <f>+'[18]OCTUBRE 2015'!$AD$492</f>
        <v>89908716</v>
      </c>
      <c r="BQ17" s="1011">
        <f t="shared" si="5"/>
        <v>0.21769652721263733</v>
      </c>
      <c r="BR17" s="1008">
        <f t="shared" si="6"/>
        <v>111008601</v>
      </c>
      <c r="BS17" s="1008">
        <f t="shared" si="7"/>
        <v>0</v>
      </c>
      <c r="BT17" s="1008">
        <f t="shared" si="8"/>
        <v>0</v>
      </c>
      <c r="BU17" s="1008"/>
      <c r="BV17" s="1008">
        <f t="shared" si="9"/>
        <v>0</v>
      </c>
      <c r="BW17" s="1008"/>
      <c r="BX17" s="1008">
        <f t="shared" si="10"/>
        <v>80993698</v>
      </c>
      <c r="BY17" s="1008">
        <f t="shared" si="10"/>
        <v>0</v>
      </c>
      <c r="BZ17" s="1008"/>
      <c r="CA17" s="1008"/>
      <c r="CB17" s="1008"/>
      <c r="CC17" s="1008"/>
      <c r="CD17" s="1008">
        <f t="shared" si="11"/>
        <v>0</v>
      </c>
      <c r="CE17" s="1008">
        <f t="shared" si="11"/>
        <v>0</v>
      </c>
      <c r="CF17" s="1008">
        <f t="shared" si="11"/>
        <v>0</v>
      </c>
      <c r="CG17" s="1008">
        <f t="shared" si="11"/>
        <v>25000000</v>
      </c>
      <c r="CH17" s="1008">
        <f t="shared" si="11"/>
        <v>0</v>
      </c>
      <c r="CI17" s="1008">
        <f t="shared" si="11"/>
        <v>0</v>
      </c>
      <c r="CJ17" s="1008"/>
      <c r="CK17" s="1008"/>
      <c r="CL17" s="1008">
        <f t="shared" si="12"/>
        <v>5014903</v>
      </c>
      <c r="CM17" s="1011">
        <f t="shared" si="13"/>
        <v>0.73389749377347435</v>
      </c>
      <c r="CN17" s="1008">
        <f t="shared" si="14"/>
        <v>374231666</v>
      </c>
      <c r="CO17" s="1008"/>
      <c r="CP17" s="1008"/>
      <c r="CQ17" s="1008"/>
      <c r="CR17" s="1008"/>
      <c r="CS17" s="1008"/>
      <c r="CT17" s="1008">
        <f>+'[18]OCTUBRE 2015'!$H$488-DH17</f>
        <v>307506302</v>
      </c>
      <c r="CU17" s="1008"/>
      <c r="CV17" s="1008"/>
      <c r="CW17" s="1008"/>
      <c r="CX17" s="1008"/>
      <c r="CY17" s="1008"/>
      <c r="CZ17" s="1008"/>
      <c r="DA17" s="1008"/>
      <c r="DB17" s="1008"/>
      <c r="DC17" s="1008"/>
      <c r="DD17" s="1008"/>
      <c r="DE17" s="1008"/>
      <c r="DF17" s="1008"/>
      <c r="DG17" s="1008"/>
      <c r="DH17" s="1008">
        <f>+'[18]OCTUBRE 2015'!$H$493+'[18]OCTUBRE 2015'!$H$519+'[18]OCTUBRE 2015'!$H$527+'[18]OCTUBRE 2015'!$H$552+'[18]OCTUBRE 2015'!$H$635+'[18]OCTUBRE 2015'!$H$699+'[18]OCTUBRE 2015'!$H$750+'[18]OCTUBRE 2015'!$H$756+'[18]OCTUBRE 2015'!$H$769+'[18]OCTUBRE 2015'!$H$816+'[18]OCTUBRE 2015'!$H$856</f>
        <v>66725364</v>
      </c>
      <c r="DI17" s="1011">
        <f t="shared" si="15"/>
        <v>0.26610250622652565</v>
      </c>
      <c r="DJ17" s="1008">
        <f t="shared" si="16"/>
        <v>135691953</v>
      </c>
      <c r="DK17" s="1008">
        <f t="shared" si="17"/>
        <v>0</v>
      </c>
      <c r="DL17" s="1008">
        <f t="shared" si="17"/>
        <v>0</v>
      </c>
      <c r="DM17" s="1008"/>
      <c r="DN17" s="1008">
        <f t="shared" si="18"/>
        <v>0</v>
      </c>
      <c r="DO17" s="1008">
        <f t="shared" si="18"/>
        <v>0</v>
      </c>
      <c r="DP17" s="1008">
        <f t="shared" si="18"/>
        <v>82493698</v>
      </c>
      <c r="DQ17" s="1008">
        <f t="shared" si="18"/>
        <v>0</v>
      </c>
      <c r="DR17" s="1008"/>
      <c r="DS17" s="1008">
        <f t="shared" si="19"/>
        <v>0</v>
      </c>
      <c r="DT17" s="1008">
        <f t="shared" si="19"/>
        <v>0</v>
      </c>
      <c r="DU17" s="1008"/>
      <c r="DV17" s="1008">
        <f t="shared" si="20"/>
        <v>0</v>
      </c>
      <c r="DW17" s="1008">
        <f t="shared" si="20"/>
        <v>0</v>
      </c>
      <c r="DX17" s="1008">
        <f t="shared" si="20"/>
        <v>0</v>
      </c>
      <c r="DY17" s="1008">
        <f t="shared" si="21"/>
        <v>25000000</v>
      </c>
      <c r="DZ17" s="1008">
        <f t="shared" si="21"/>
        <v>0</v>
      </c>
      <c r="EA17" s="1008">
        <f t="shared" si="21"/>
        <v>0</v>
      </c>
      <c r="EB17" s="1008">
        <f t="shared" si="21"/>
        <v>0</v>
      </c>
      <c r="EC17" s="1008"/>
      <c r="ED17" s="1008">
        <f t="shared" si="22"/>
        <v>28198255</v>
      </c>
    </row>
    <row r="18" spans="1:134" ht="35.25" customHeight="1" x14ac:dyDescent="0.25">
      <c r="A18" s="1562"/>
      <c r="B18" s="1021"/>
      <c r="C18" s="1116" t="s">
        <v>4597</v>
      </c>
      <c r="D18" s="1019" t="s">
        <v>4698</v>
      </c>
      <c r="E18" s="1020">
        <v>310</v>
      </c>
      <c r="F18" s="1120" t="s">
        <v>4729</v>
      </c>
      <c r="G18" s="1400"/>
      <c r="H18" s="1061">
        <f t="shared" si="0"/>
        <v>197406342</v>
      </c>
      <c r="I18" s="1061">
        <f t="shared" si="1"/>
        <v>24578802</v>
      </c>
      <c r="J18" s="1400"/>
      <c r="K18" s="1573"/>
      <c r="L18" s="1573"/>
      <c r="M18" s="1115">
        <v>9</v>
      </c>
      <c r="N18" s="1115">
        <v>30</v>
      </c>
      <c r="O18" s="1115">
        <v>3</v>
      </c>
      <c r="P18" s="1115">
        <v>10</v>
      </c>
      <c r="Q18" s="1115">
        <v>80</v>
      </c>
      <c r="R18" s="1115">
        <v>8</v>
      </c>
      <c r="S18" s="1125"/>
      <c r="T18" s="1125"/>
      <c r="U18" s="1125"/>
      <c r="V18" s="1125"/>
      <c r="W18" s="1125"/>
      <c r="X18" s="1125"/>
      <c r="Y18" s="1008">
        <f t="shared" si="2"/>
        <v>221985144</v>
      </c>
      <c r="Z18" s="1008"/>
      <c r="AA18" s="1008"/>
      <c r="AB18" s="1008"/>
      <c r="AC18" s="1008"/>
      <c r="AD18" s="1008"/>
      <c r="AE18" s="1008">
        <v>30000000</v>
      </c>
      <c r="AF18" s="1008">
        <f>222000000-30014856</f>
        <v>191985144</v>
      </c>
      <c r="AG18" s="1008"/>
      <c r="AH18" s="1008"/>
      <c r="AI18" s="1008"/>
      <c r="AJ18" s="1008"/>
      <c r="AK18" s="1008"/>
      <c r="AL18" s="1008"/>
      <c r="AM18" s="1008"/>
      <c r="AN18" s="1008"/>
      <c r="AO18" s="1008"/>
      <c r="AP18" s="1008"/>
      <c r="AQ18" s="1008"/>
      <c r="AR18" s="1008"/>
      <c r="AS18" s="1008">
        <f>3000000-3000000</f>
        <v>0</v>
      </c>
      <c r="AT18" s="949"/>
      <c r="AU18" s="1011">
        <f t="shared" si="3"/>
        <v>0.90204538642459786</v>
      </c>
      <c r="AV18" s="1008">
        <f t="shared" si="4"/>
        <v>200240675</v>
      </c>
      <c r="AW18" s="1008"/>
      <c r="AX18" s="1008"/>
      <c r="AY18" s="1008"/>
      <c r="AZ18" s="1008"/>
      <c r="BA18" s="1008"/>
      <c r="BB18" s="1008">
        <f>+'[15]JULIO 2015'!$O$577</f>
        <v>30000000</v>
      </c>
      <c r="BC18" s="1008">
        <f>+'[18]OCTUBRE 2015'!$P$884</f>
        <v>170240675</v>
      </c>
      <c r="BD18" s="1008"/>
      <c r="BE18" s="1008"/>
      <c r="BF18" s="1008"/>
      <c r="BG18" s="1008"/>
      <c r="BH18" s="1008"/>
      <c r="BI18" s="1008"/>
      <c r="BJ18" s="1008"/>
      <c r="BK18" s="1008"/>
      <c r="BL18" s="1008"/>
      <c r="BM18" s="1008"/>
      <c r="BN18" s="1008"/>
      <c r="BO18" s="1008"/>
      <c r="BP18" s="1008"/>
      <c r="BQ18" s="1011">
        <f t="shared" si="5"/>
        <v>9.7954613575402139E-2</v>
      </c>
      <c r="BR18" s="1008">
        <f t="shared" si="6"/>
        <v>21744469</v>
      </c>
      <c r="BS18" s="1008">
        <f t="shared" si="7"/>
        <v>0</v>
      </c>
      <c r="BT18" s="1008">
        <f t="shared" si="8"/>
        <v>0</v>
      </c>
      <c r="BU18" s="1008"/>
      <c r="BV18" s="1008">
        <f t="shared" si="9"/>
        <v>0</v>
      </c>
      <c r="BW18" s="1008"/>
      <c r="BX18" s="1008">
        <f t="shared" si="10"/>
        <v>0</v>
      </c>
      <c r="BY18" s="1008">
        <f t="shared" si="10"/>
        <v>21744469</v>
      </c>
      <c r="BZ18" s="1008"/>
      <c r="CA18" s="1008">
        <f>+AH18-BE18</f>
        <v>0</v>
      </c>
      <c r="CB18" s="1008">
        <f>+AI18-BF18</f>
        <v>0</v>
      </c>
      <c r="CC18" s="1008">
        <f>+AJ18-BG18</f>
        <v>0</v>
      </c>
      <c r="CD18" s="1008">
        <f t="shared" si="11"/>
        <v>0</v>
      </c>
      <c r="CE18" s="1008">
        <f t="shared" si="11"/>
        <v>0</v>
      </c>
      <c r="CF18" s="1008">
        <f t="shared" si="11"/>
        <v>0</v>
      </c>
      <c r="CG18" s="1008">
        <f t="shared" si="11"/>
        <v>0</v>
      </c>
      <c r="CH18" s="1008">
        <f t="shared" si="11"/>
        <v>0</v>
      </c>
      <c r="CI18" s="1008">
        <f t="shared" si="11"/>
        <v>0</v>
      </c>
      <c r="CJ18" s="1008"/>
      <c r="CK18" s="1008"/>
      <c r="CL18" s="1008">
        <f t="shared" si="12"/>
        <v>0</v>
      </c>
      <c r="CM18" s="1011">
        <f t="shared" si="13"/>
        <v>0.889277266230032</v>
      </c>
      <c r="CN18" s="1008">
        <f t="shared" si="14"/>
        <v>197406342</v>
      </c>
      <c r="CO18" s="1008"/>
      <c r="CP18" s="1008"/>
      <c r="CQ18" s="1008"/>
      <c r="CR18" s="1008"/>
      <c r="CS18" s="1008"/>
      <c r="CT18" s="1008">
        <f>+'[18]OCTUBRE 2015'!$H$885+'[18]OCTUBRE 2015'!$H$886+'[18]OCTUBRE 2015'!$H$887+'[18]OCTUBRE 2015'!$H$888+'[18]OCTUBRE 2015'!$H$890+'[18]OCTUBRE 2015'!$H$892</f>
        <v>29177750</v>
      </c>
      <c r="CU18" s="1008">
        <f>+'[18]OCTUBRE 2015'!$H$882-CT18</f>
        <v>168228592</v>
      </c>
      <c r="CV18" s="1008"/>
      <c r="CW18" s="1008"/>
      <c r="CX18" s="1008"/>
      <c r="CY18" s="1008"/>
      <c r="CZ18" s="1008"/>
      <c r="DA18" s="1008"/>
      <c r="DB18" s="1008"/>
      <c r="DC18" s="1008"/>
      <c r="DD18" s="1008"/>
      <c r="DE18" s="1008"/>
      <c r="DF18" s="1008"/>
      <c r="DG18" s="1008"/>
      <c r="DH18" s="1008"/>
      <c r="DI18" s="1011">
        <f t="shared" si="15"/>
        <v>0.110722733769968</v>
      </c>
      <c r="DJ18" s="1008">
        <f t="shared" si="16"/>
        <v>24578802</v>
      </c>
      <c r="DK18" s="1008">
        <f t="shared" si="17"/>
        <v>0</v>
      </c>
      <c r="DL18" s="1008">
        <f t="shared" si="17"/>
        <v>0</v>
      </c>
      <c r="DM18" s="1008"/>
      <c r="DN18" s="1008">
        <f t="shared" si="18"/>
        <v>0</v>
      </c>
      <c r="DO18" s="1008">
        <f t="shared" si="18"/>
        <v>0</v>
      </c>
      <c r="DP18" s="1008">
        <f t="shared" si="18"/>
        <v>822250</v>
      </c>
      <c r="DQ18" s="1008">
        <f t="shared" si="18"/>
        <v>23756552</v>
      </c>
      <c r="DR18" s="1008"/>
      <c r="DS18" s="1008">
        <f t="shared" si="19"/>
        <v>0</v>
      </c>
      <c r="DT18" s="1008">
        <f t="shared" si="19"/>
        <v>0</v>
      </c>
      <c r="DU18" s="1008"/>
      <c r="DV18" s="1008">
        <f t="shared" si="20"/>
        <v>0</v>
      </c>
      <c r="DW18" s="1008">
        <f t="shared" si="20"/>
        <v>0</v>
      </c>
      <c r="DX18" s="1008">
        <f t="shared" si="20"/>
        <v>0</v>
      </c>
      <c r="DY18" s="1008">
        <f t="shared" si="21"/>
        <v>0</v>
      </c>
      <c r="DZ18" s="1008">
        <f t="shared" si="21"/>
        <v>0</v>
      </c>
      <c r="EA18" s="1008">
        <f t="shared" si="21"/>
        <v>0</v>
      </c>
      <c r="EB18" s="1008">
        <f t="shared" si="21"/>
        <v>0</v>
      </c>
      <c r="EC18" s="1008"/>
      <c r="ED18" s="1008">
        <f t="shared" si="22"/>
        <v>0</v>
      </c>
    </row>
    <row r="19" spans="1:134" ht="36" customHeight="1" x14ac:dyDescent="0.25">
      <c r="A19" s="1562"/>
      <c r="B19" s="1021"/>
      <c r="C19" s="1116" t="s">
        <v>4568</v>
      </c>
      <c r="D19" s="1019" t="s">
        <v>4567</v>
      </c>
      <c r="E19" s="1020">
        <v>310</v>
      </c>
      <c r="F19" s="1120" t="s">
        <v>4660</v>
      </c>
      <c r="G19" s="1400"/>
      <c r="H19" s="1061">
        <f t="shared" si="0"/>
        <v>88647184</v>
      </c>
      <c r="I19" s="1061">
        <f t="shared" si="1"/>
        <v>52352816</v>
      </c>
      <c r="J19" s="1400"/>
      <c r="K19" s="1573"/>
      <c r="L19" s="1573"/>
      <c r="M19" s="1115">
        <v>39</v>
      </c>
      <c r="N19" s="1115">
        <v>0</v>
      </c>
      <c r="O19" s="1115">
        <v>0</v>
      </c>
      <c r="P19" s="1115">
        <v>89</v>
      </c>
      <c r="Q19" s="1115">
        <v>0</v>
      </c>
      <c r="R19" s="1115">
        <v>0</v>
      </c>
      <c r="S19" s="1125"/>
      <c r="T19" s="1125"/>
      <c r="U19" s="1125"/>
      <c r="V19" s="1125"/>
      <c r="W19" s="1125"/>
      <c r="X19" s="1125"/>
      <c r="Y19" s="1008">
        <f t="shared" si="2"/>
        <v>141000000</v>
      </c>
      <c r="Z19" s="1008"/>
      <c r="AA19" s="1008">
        <f>144000000-144000000</f>
        <v>0</v>
      </c>
      <c r="AB19" s="1008"/>
      <c r="AC19" s="1008"/>
      <c r="AD19" s="1008"/>
      <c r="AE19" s="1008"/>
      <c r="AF19" s="1008">
        <f>144000000-64000000+50000000</f>
        <v>130000000</v>
      </c>
      <c r="AG19" s="1008"/>
      <c r="AH19" s="1008"/>
      <c r="AI19" s="1008"/>
      <c r="AJ19" s="1008"/>
      <c r="AK19" s="1008"/>
      <c r="AL19" s="1008"/>
      <c r="AM19" s="1008"/>
      <c r="AN19" s="1008">
        <f>11000000</f>
        <v>11000000</v>
      </c>
      <c r="AO19" s="1008"/>
      <c r="AP19" s="1008"/>
      <c r="AQ19" s="1008"/>
      <c r="AR19" s="1008"/>
      <c r="AS19" s="1008"/>
      <c r="AT19" s="949"/>
      <c r="AU19" s="1011">
        <f t="shared" si="3"/>
        <v>0.66617021276595745</v>
      </c>
      <c r="AV19" s="1008">
        <f t="shared" si="4"/>
        <v>93930000</v>
      </c>
      <c r="AW19" s="1008"/>
      <c r="AX19" s="1008"/>
      <c r="AY19" s="1008"/>
      <c r="AZ19" s="1008"/>
      <c r="BA19" s="1008"/>
      <c r="BB19" s="1008"/>
      <c r="BC19" s="1008">
        <f>+'[18]OCTUBRE 2015'!$P$916</f>
        <v>93930000</v>
      </c>
      <c r="BD19" s="1008"/>
      <c r="BE19" s="1008"/>
      <c r="BF19" s="1008"/>
      <c r="BG19" s="1008"/>
      <c r="BH19" s="1008"/>
      <c r="BI19" s="1008"/>
      <c r="BJ19" s="1008"/>
      <c r="BK19" s="1008"/>
      <c r="BL19" s="1008"/>
      <c r="BM19" s="1008"/>
      <c r="BN19" s="1008"/>
      <c r="BO19" s="1008"/>
      <c r="BP19" s="1008"/>
      <c r="BQ19" s="1011">
        <f t="shared" si="5"/>
        <v>0.33382978723404255</v>
      </c>
      <c r="BR19" s="1008">
        <f t="shared" si="6"/>
        <v>47070000</v>
      </c>
      <c r="BS19" s="1008">
        <f t="shared" si="7"/>
        <v>0</v>
      </c>
      <c r="BT19" s="1008">
        <f t="shared" ref="BT19:BT33" si="23">AA19-AX19</f>
        <v>0</v>
      </c>
      <c r="BU19" s="1008"/>
      <c r="BV19" s="1008">
        <f t="shared" si="9"/>
        <v>0</v>
      </c>
      <c r="BW19" s="1008"/>
      <c r="BX19" s="1008">
        <f t="shared" si="10"/>
        <v>0</v>
      </c>
      <c r="BY19" s="1008">
        <f t="shared" si="10"/>
        <v>36070000</v>
      </c>
      <c r="BZ19" s="1008"/>
      <c r="CA19" s="1008"/>
      <c r="CB19" s="1008"/>
      <c r="CC19" s="1008"/>
      <c r="CD19" s="1008">
        <f t="shared" si="11"/>
        <v>0</v>
      </c>
      <c r="CE19" s="1008">
        <f t="shared" si="11"/>
        <v>0</v>
      </c>
      <c r="CF19" s="1008">
        <f t="shared" si="11"/>
        <v>0</v>
      </c>
      <c r="CG19" s="1008">
        <f t="shared" si="11"/>
        <v>11000000</v>
      </c>
      <c r="CH19" s="1008">
        <f t="shared" si="11"/>
        <v>0</v>
      </c>
      <c r="CI19" s="1008">
        <f t="shared" si="11"/>
        <v>0</v>
      </c>
      <c r="CJ19" s="1008"/>
      <c r="CK19" s="1008"/>
      <c r="CL19" s="1008">
        <f t="shared" si="12"/>
        <v>0</v>
      </c>
      <c r="CM19" s="1011">
        <f t="shared" si="13"/>
        <v>0.62870343262411343</v>
      </c>
      <c r="CN19" s="1008">
        <f t="shared" si="14"/>
        <v>88647184</v>
      </c>
      <c r="CO19" s="1008"/>
      <c r="CP19" s="1008"/>
      <c r="CQ19" s="1008"/>
      <c r="CR19" s="1008"/>
      <c r="CS19" s="1008"/>
      <c r="CT19" s="1008"/>
      <c r="CU19" s="1008">
        <f>+'[18]OCTUBRE 2015'!$H$914</f>
        <v>88647184</v>
      </c>
      <c r="CV19" s="1008"/>
      <c r="CW19" s="1008"/>
      <c r="CX19" s="1008"/>
      <c r="CY19" s="1008"/>
      <c r="CZ19" s="1008"/>
      <c r="DA19" s="1008"/>
      <c r="DB19" s="1008"/>
      <c r="DC19" s="1008"/>
      <c r="DD19" s="1008"/>
      <c r="DE19" s="1008"/>
      <c r="DF19" s="1008"/>
      <c r="DG19" s="1008"/>
      <c r="DH19" s="1008"/>
      <c r="DI19" s="1011">
        <f t="shared" si="15"/>
        <v>0.37129656737588657</v>
      </c>
      <c r="DJ19" s="1008">
        <f t="shared" si="16"/>
        <v>52352816</v>
      </c>
      <c r="DK19" s="1008">
        <f t="shared" si="17"/>
        <v>0</v>
      </c>
      <c r="DL19" s="1008">
        <f t="shared" si="17"/>
        <v>0</v>
      </c>
      <c r="DM19" s="1008"/>
      <c r="DN19" s="1008">
        <f t="shared" si="18"/>
        <v>0</v>
      </c>
      <c r="DO19" s="1008">
        <f t="shared" si="18"/>
        <v>0</v>
      </c>
      <c r="DP19" s="1008">
        <f t="shared" si="18"/>
        <v>0</v>
      </c>
      <c r="DQ19" s="1008">
        <f t="shared" si="18"/>
        <v>41352816</v>
      </c>
      <c r="DR19" s="1008"/>
      <c r="DS19" s="1008">
        <f t="shared" si="19"/>
        <v>0</v>
      </c>
      <c r="DT19" s="1008">
        <f t="shared" si="19"/>
        <v>0</v>
      </c>
      <c r="DU19" s="1008"/>
      <c r="DV19" s="1008">
        <f t="shared" si="20"/>
        <v>0</v>
      </c>
      <c r="DW19" s="1008">
        <f t="shared" si="20"/>
        <v>0</v>
      </c>
      <c r="DX19" s="1008">
        <f t="shared" si="20"/>
        <v>0</v>
      </c>
      <c r="DY19" s="1008">
        <f t="shared" si="21"/>
        <v>11000000</v>
      </c>
      <c r="DZ19" s="1008">
        <f t="shared" si="21"/>
        <v>0</v>
      </c>
      <c r="EA19" s="1008">
        <f t="shared" si="21"/>
        <v>0</v>
      </c>
      <c r="EB19" s="1008">
        <f t="shared" si="21"/>
        <v>0</v>
      </c>
      <c r="EC19" s="1008"/>
      <c r="ED19" s="1008">
        <f t="shared" si="22"/>
        <v>0</v>
      </c>
    </row>
    <row r="20" spans="1:134" ht="34.5" customHeight="1" x14ac:dyDescent="0.25">
      <c r="A20" s="1562"/>
      <c r="B20" s="1021"/>
      <c r="C20" s="1116" t="s">
        <v>4569</v>
      </c>
      <c r="D20" s="1019" t="s">
        <v>4699</v>
      </c>
      <c r="E20" s="1020">
        <v>310</v>
      </c>
      <c r="F20" s="1120" t="s">
        <v>4660</v>
      </c>
      <c r="G20" s="1400"/>
      <c r="H20" s="1061">
        <f t="shared" si="0"/>
        <v>0</v>
      </c>
      <c r="I20" s="1061">
        <f t="shared" si="1"/>
        <v>0</v>
      </c>
      <c r="J20" s="1400"/>
      <c r="K20" s="1573"/>
      <c r="L20" s="1573"/>
      <c r="M20" s="1115">
        <v>0</v>
      </c>
      <c r="N20" s="1115">
        <v>0</v>
      </c>
      <c r="O20" s="1115">
        <v>0</v>
      </c>
      <c r="P20" s="1115">
        <v>0</v>
      </c>
      <c r="Q20" s="1115">
        <v>0</v>
      </c>
      <c r="R20" s="1115">
        <v>0</v>
      </c>
      <c r="S20" s="1125"/>
      <c r="T20" s="1125"/>
      <c r="U20" s="1125"/>
      <c r="V20" s="1125"/>
      <c r="W20" s="1125"/>
      <c r="X20" s="1125"/>
      <c r="Y20" s="1008">
        <f t="shared" si="2"/>
        <v>0</v>
      </c>
      <c r="Z20" s="149"/>
      <c r="AA20" s="944"/>
      <c r="AB20" s="944"/>
      <c r="AC20" s="944"/>
      <c r="AD20" s="944"/>
      <c r="AE20" s="944"/>
      <c r="AF20" s="1008">
        <f>4000000-4000000</f>
        <v>0</v>
      </c>
      <c r="AG20" s="944"/>
      <c r="AH20" s="149"/>
      <c r="AI20" s="149"/>
      <c r="AJ20" s="149"/>
      <c r="AK20" s="149"/>
      <c r="AL20" s="149"/>
      <c r="AM20" s="149"/>
      <c r="AN20" s="1008">
        <f>11000000-11000000</f>
        <v>0</v>
      </c>
      <c r="AO20" s="149"/>
      <c r="AP20" s="149"/>
      <c r="AQ20" s="149"/>
      <c r="AR20" s="149"/>
      <c r="AS20" s="944"/>
      <c r="AT20" s="949"/>
      <c r="AU20" s="1011">
        <v>0</v>
      </c>
      <c r="AV20" s="1008">
        <f t="shared" si="4"/>
        <v>0</v>
      </c>
      <c r="AW20" s="1008"/>
      <c r="AX20" s="1008"/>
      <c r="AY20" s="1008"/>
      <c r="AZ20" s="1008"/>
      <c r="BA20" s="1008"/>
      <c r="BB20" s="1008"/>
      <c r="BC20" s="1008"/>
      <c r="BD20" s="1008"/>
      <c r="BE20" s="1008"/>
      <c r="BF20" s="1008"/>
      <c r="BG20" s="1008"/>
      <c r="BH20" s="1008"/>
      <c r="BI20" s="1008"/>
      <c r="BJ20" s="1008"/>
      <c r="BK20" s="1008"/>
      <c r="BL20" s="1008"/>
      <c r="BM20" s="1008"/>
      <c r="BN20" s="1008"/>
      <c r="BO20" s="1008"/>
      <c r="BP20" s="1008"/>
      <c r="BQ20" s="1011">
        <v>0</v>
      </c>
      <c r="BR20" s="1008">
        <f t="shared" si="6"/>
        <v>0</v>
      </c>
      <c r="BS20" s="1008">
        <f t="shared" si="7"/>
        <v>0</v>
      </c>
      <c r="BT20" s="1008">
        <f t="shared" si="23"/>
        <v>0</v>
      </c>
      <c r="BU20" s="1008"/>
      <c r="BV20" s="1008">
        <f t="shared" si="9"/>
        <v>0</v>
      </c>
      <c r="BW20" s="1008"/>
      <c r="BX20" s="1008">
        <f t="shared" si="10"/>
        <v>0</v>
      </c>
      <c r="BY20" s="1008">
        <f t="shared" si="10"/>
        <v>0</v>
      </c>
      <c r="BZ20" s="1008"/>
      <c r="CA20" s="1008"/>
      <c r="CB20" s="1008"/>
      <c r="CC20" s="1008"/>
      <c r="CD20" s="1008">
        <f t="shared" ref="CD20:CI33" si="24">+AK20-BH20</f>
        <v>0</v>
      </c>
      <c r="CE20" s="1008">
        <f t="shared" si="24"/>
        <v>0</v>
      </c>
      <c r="CF20" s="1008">
        <f t="shared" si="24"/>
        <v>0</v>
      </c>
      <c r="CG20" s="1008">
        <f t="shared" si="24"/>
        <v>0</v>
      </c>
      <c r="CH20" s="1008">
        <f t="shared" si="24"/>
        <v>0</v>
      </c>
      <c r="CI20" s="1008">
        <f t="shared" si="24"/>
        <v>0</v>
      </c>
      <c r="CJ20" s="1008"/>
      <c r="CK20" s="1008"/>
      <c r="CL20" s="1008">
        <f t="shared" si="12"/>
        <v>0</v>
      </c>
      <c r="CM20" s="1011">
        <v>0</v>
      </c>
      <c r="CN20" s="1008">
        <f t="shared" si="14"/>
        <v>0</v>
      </c>
      <c r="CO20" s="1008"/>
      <c r="CP20" s="1008"/>
      <c r="CQ20" s="1008"/>
      <c r="CR20" s="1008"/>
      <c r="CS20" s="1008"/>
      <c r="CT20" s="1008"/>
      <c r="CU20" s="1008"/>
      <c r="CV20" s="1008"/>
      <c r="CW20" s="1008"/>
      <c r="CX20" s="1008"/>
      <c r="CY20" s="1008"/>
      <c r="CZ20" s="1008"/>
      <c r="DA20" s="1008"/>
      <c r="DB20" s="1008"/>
      <c r="DC20" s="1008"/>
      <c r="DD20" s="1008"/>
      <c r="DE20" s="1008"/>
      <c r="DF20" s="1008"/>
      <c r="DG20" s="1008"/>
      <c r="DH20" s="1008"/>
      <c r="DI20" s="1011">
        <v>0</v>
      </c>
      <c r="DJ20" s="1008">
        <f t="shared" si="16"/>
        <v>0</v>
      </c>
      <c r="DK20" s="1008">
        <f t="shared" si="17"/>
        <v>0</v>
      </c>
      <c r="DL20" s="1008">
        <f t="shared" si="17"/>
        <v>0</v>
      </c>
      <c r="DM20" s="1008"/>
      <c r="DN20" s="1008">
        <f t="shared" si="18"/>
        <v>0</v>
      </c>
      <c r="DO20" s="1008">
        <f t="shared" si="18"/>
        <v>0</v>
      </c>
      <c r="DP20" s="1008">
        <f t="shared" si="18"/>
        <v>0</v>
      </c>
      <c r="DQ20" s="1008">
        <f t="shared" si="18"/>
        <v>0</v>
      </c>
      <c r="DR20" s="1008"/>
      <c r="DS20" s="1008">
        <f t="shared" si="19"/>
        <v>0</v>
      </c>
      <c r="DT20" s="1008">
        <f t="shared" si="19"/>
        <v>0</v>
      </c>
      <c r="DU20" s="1008"/>
      <c r="DV20" s="1008">
        <f t="shared" si="20"/>
        <v>0</v>
      </c>
      <c r="DW20" s="1008">
        <f t="shared" si="20"/>
        <v>0</v>
      </c>
      <c r="DX20" s="1008">
        <f t="shared" si="20"/>
        <v>0</v>
      </c>
      <c r="DY20" s="1008">
        <f t="shared" si="21"/>
        <v>0</v>
      </c>
      <c r="DZ20" s="1008">
        <f t="shared" si="21"/>
        <v>0</v>
      </c>
      <c r="EA20" s="1008">
        <f t="shared" si="21"/>
        <v>0</v>
      </c>
      <c r="EB20" s="1008">
        <f t="shared" si="21"/>
        <v>0</v>
      </c>
      <c r="EC20" s="1008"/>
      <c r="ED20" s="1008">
        <f t="shared" si="22"/>
        <v>0</v>
      </c>
    </row>
    <row r="21" spans="1:134" ht="48.75" customHeight="1" x14ac:dyDescent="0.25">
      <c r="A21" s="1562"/>
      <c r="B21" s="1021"/>
      <c r="C21" s="1116" t="s">
        <v>4570</v>
      </c>
      <c r="D21" s="1019" t="s">
        <v>4566</v>
      </c>
      <c r="E21" s="1020">
        <v>310</v>
      </c>
      <c r="F21" s="1120" t="s">
        <v>4660</v>
      </c>
      <c r="G21" s="1401"/>
      <c r="H21" s="1061">
        <f t="shared" si="0"/>
        <v>0</v>
      </c>
      <c r="I21" s="1061">
        <f t="shared" si="1"/>
        <v>0</v>
      </c>
      <c r="J21" s="1401"/>
      <c r="K21" s="1284"/>
      <c r="L21" s="1284"/>
      <c r="M21" s="1115">
        <v>0</v>
      </c>
      <c r="N21" s="1115">
        <v>0</v>
      </c>
      <c r="O21" s="1115">
        <v>0</v>
      </c>
      <c r="P21" s="1115">
        <v>0</v>
      </c>
      <c r="Q21" s="1115">
        <v>0</v>
      </c>
      <c r="R21" s="1115">
        <v>0</v>
      </c>
      <c r="S21" s="1126"/>
      <c r="T21" s="1126"/>
      <c r="U21" s="1126"/>
      <c r="V21" s="1126"/>
      <c r="W21" s="1126"/>
      <c r="X21" s="1126"/>
      <c r="Y21" s="1008">
        <f t="shared" si="2"/>
        <v>0</v>
      </c>
      <c r="Z21" s="149"/>
      <c r="AA21" s="944">
        <f>36000000-36000000</f>
        <v>0</v>
      </c>
      <c r="AB21" s="944"/>
      <c r="AC21" s="944"/>
      <c r="AD21" s="944"/>
      <c r="AE21" s="944"/>
      <c r="AF21" s="1008">
        <f>34000000+36000000-20000000-50000000</f>
        <v>0</v>
      </c>
      <c r="AG21" s="944"/>
      <c r="AH21" s="149"/>
      <c r="AI21" s="149"/>
      <c r="AJ21" s="149"/>
      <c r="AK21" s="149"/>
      <c r="AL21" s="149"/>
      <c r="AM21" s="149"/>
      <c r="AN21" s="149"/>
      <c r="AO21" s="149"/>
      <c r="AP21" s="149"/>
      <c r="AQ21" s="149"/>
      <c r="AR21" s="149"/>
      <c r="AS21" s="944"/>
      <c r="AT21" s="949"/>
      <c r="AU21" s="1011">
        <v>0</v>
      </c>
      <c r="AV21" s="1008">
        <f t="shared" si="4"/>
        <v>0</v>
      </c>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11">
        <v>0</v>
      </c>
      <c r="BR21" s="1008">
        <f t="shared" si="6"/>
        <v>0</v>
      </c>
      <c r="BS21" s="1008">
        <f t="shared" si="7"/>
        <v>0</v>
      </c>
      <c r="BT21" s="1008">
        <f t="shared" si="23"/>
        <v>0</v>
      </c>
      <c r="BU21" s="1008"/>
      <c r="BV21" s="1008">
        <f t="shared" si="9"/>
        <v>0</v>
      </c>
      <c r="BW21" s="1008"/>
      <c r="BX21" s="1008">
        <f t="shared" si="10"/>
        <v>0</v>
      </c>
      <c r="BY21" s="1008">
        <f t="shared" si="10"/>
        <v>0</v>
      </c>
      <c r="BZ21" s="1008"/>
      <c r="CA21" s="1008"/>
      <c r="CB21" s="1008"/>
      <c r="CC21" s="1008"/>
      <c r="CD21" s="1008">
        <f t="shared" si="24"/>
        <v>0</v>
      </c>
      <c r="CE21" s="1008">
        <f t="shared" si="24"/>
        <v>0</v>
      </c>
      <c r="CF21" s="1008">
        <f t="shared" si="24"/>
        <v>0</v>
      </c>
      <c r="CG21" s="1008">
        <f t="shared" si="24"/>
        <v>0</v>
      </c>
      <c r="CH21" s="1008">
        <f t="shared" si="24"/>
        <v>0</v>
      </c>
      <c r="CI21" s="1008">
        <f t="shared" si="24"/>
        <v>0</v>
      </c>
      <c r="CJ21" s="1008"/>
      <c r="CK21" s="1008"/>
      <c r="CL21" s="1008">
        <f t="shared" si="12"/>
        <v>0</v>
      </c>
      <c r="CM21" s="1011">
        <v>0</v>
      </c>
      <c r="CN21" s="1008">
        <f t="shared" si="14"/>
        <v>0</v>
      </c>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11">
        <v>0</v>
      </c>
      <c r="DJ21" s="1008">
        <f t="shared" si="16"/>
        <v>0</v>
      </c>
      <c r="DK21" s="1008">
        <f t="shared" si="17"/>
        <v>0</v>
      </c>
      <c r="DL21" s="1008">
        <f t="shared" si="17"/>
        <v>0</v>
      </c>
      <c r="DM21" s="1008"/>
      <c r="DN21" s="1008">
        <f t="shared" si="18"/>
        <v>0</v>
      </c>
      <c r="DO21" s="1008">
        <f t="shared" si="18"/>
        <v>0</v>
      </c>
      <c r="DP21" s="1008">
        <f t="shared" si="18"/>
        <v>0</v>
      </c>
      <c r="DQ21" s="1008">
        <f t="shared" si="18"/>
        <v>0</v>
      </c>
      <c r="DR21" s="1008"/>
      <c r="DS21" s="1008">
        <f t="shared" si="19"/>
        <v>0</v>
      </c>
      <c r="DT21" s="1008">
        <f t="shared" si="19"/>
        <v>0</v>
      </c>
      <c r="DU21" s="1008"/>
      <c r="DV21" s="1008">
        <f t="shared" si="20"/>
        <v>0</v>
      </c>
      <c r="DW21" s="1008">
        <f t="shared" si="20"/>
        <v>0</v>
      </c>
      <c r="DX21" s="1008">
        <f t="shared" si="20"/>
        <v>0</v>
      </c>
      <c r="DY21" s="1008">
        <f t="shared" si="21"/>
        <v>0</v>
      </c>
      <c r="DZ21" s="1008">
        <f t="shared" si="21"/>
        <v>0</v>
      </c>
      <c r="EA21" s="1008">
        <f t="shared" si="21"/>
        <v>0</v>
      </c>
      <c r="EB21" s="1008">
        <f t="shared" si="21"/>
        <v>0</v>
      </c>
      <c r="EC21" s="1008"/>
      <c r="ED21" s="1008">
        <f t="shared" si="22"/>
        <v>0</v>
      </c>
    </row>
    <row r="22" spans="1:134" ht="60" customHeight="1" x14ac:dyDescent="0.25">
      <c r="A22" s="1562"/>
      <c r="B22" s="1021" t="s">
        <v>4302</v>
      </c>
      <c r="C22" s="1116" t="s">
        <v>4400</v>
      </c>
      <c r="D22" s="1019" t="s">
        <v>4572</v>
      </c>
      <c r="E22" s="1020">
        <v>510</v>
      </c>
      <c r="F22" s="1120" t="s">
        <v>4671</v>
      </c>
      <c r="G22" s="1399">
        <v>259000000</v>
      </c>
      <c r="H22" s="1061">
        <f t="shared" si="0"/>
        <v>57842833</v>
      </c>
      <c r="I22" s="1061">
        <f t="shared" si="1"/>
        <v>49157167</v>
      </c>
      <c r="J22" s="1399" t="s">
        <v>4766</v>
      </c>
      <c r="K22" s="1118" t="s">
        <v>4768</v>
      </c>
      <c r="L22" s="1115" t="s">
        <v>4767</v>
      </c>
      <c r="M22" s="1115">
        <v>19</v>
      </c>
      <c r="N22" s="1115">
        <v>10</v>
      </c>
      <c r="O22" s="1115">
        <v>2</v>
      </c>
      <c r="P22" s="1115">
        <v>19</v>
      </c>
      <c r="Q22" s="1115">
        <v>50</v>
      </c>
      <c r="R22" s="1115">
        <v>9</v>
      </c>
      <c r="S22" s="1124"/>
      <c r="T22" s="1124"/>
      <c r="U22" s="1124"/>
      <c r="V22" s="1124"/>
      <c r="W22" s="1124"/>
      <c r="X22" s="1124"/>
      <c r="Y22" s="1008">
        <f t="shared" si="2"/>
        <v>107000000</v>
      </c>
      <c r="Z22" s="1008"/>
      <c r="AA22" s="1008"/>
      <c r="AB22" s="1008"/>
      <c r="AC22" s="1008"/>
      <c r="AD22" s="1008"/>
      <c r="AE22" s="1008"/>
      <c r="AF22" s="1008"/>
      <c r="AG22" s="1008"/>
      <c r="AH22" s="1008"/>
      <c r="AI22" s="1008"/>
      <c r="AJ22" s="1008"/>
      <c r="AK22" s="1008"/>
      <c r="AL22" s="1008"/>
      <c r="AM22" s="1008"/>
      <c r="AN22" s="1008"/>
      <c r="AO22" s="1008">
        <v>50000000</v>
      </c>
      <c r="AP22" s="1008"/>
      <c r="AQ22" s="1008"/>
      <c r="AR22" s="1008"/>
      <c r="AS22" s="1008">
        <f>9000000+5000000+15000000+5000000+5000000+15000000+3000000</f>
        <v>57000000</v>
      </c>
      <c r="AU22" s="1011">
        <f t="shared" si="3"/>
        <v>0.99342156074766352</v>
      </c>
      <c r="AV22" s="1008">
        <f t="shared" si="4"/>
        <v>106296107</v>
      </c>
      <c r="AW22" s="1008"/>
      <c r="AX22" s="1008"/>
      <c r="AY22" s="1008"/>
      <c r="AZ22" s="1008"/>
      <c r="BA22" s="1008"/>
      <c r="BB22" s="1008"/>
      <c r="BC22" s="1008"/>
      <c r="BD22" s="1008"/>
      <c r="BE22" s="1008"/>
      <c r="BF22" s="1008"/>
      <c r="BG22" s="1008"/>
      <c r="BH22" s="1008"/>
      <c r="BI22" s="1008"/>
      <c r="BJ22" s="1008"/>
      <c r="BK22" s="1008"/>
      <c r="BL22" s="1008">
        <f>+'[8]FEBRERO 2015'!$X$852</f>
        <v>50000000</v>
      </c>
      <c r="BM22" s="1008"/>
      <c r="BN22" s="1008"/>
      <c r="BO22" s="1008"/>
      <c r="BP22" s="1008">
        <f>+'[17]SEPTIEMBRE 2015'!$AD$2528</f>
        <v>56296107</v>
      </c>
      <c r="BQ22" s="1011">
        <v>0</v>
      </c>
      <c r="BR22" s="1008">
        <f t="shared" si="6"/>
        <v>703893</v>
      </c>
      <c r="BS22" s="1008">
        <f t="shared" si="7"/>
        <v>0</v>
      </c>
      <c r="BT22" s="1008">
        <f t="shared" si="23"/>
        <v>0</v>
      </c>
      <c r="BU22" s="1008"/>
      <c r="BV22" s="1008">
        <f t="shared" si="9"/>
        <v>0</v>
      </c>
      <c r="BW22" s="1008"/>
      <c r="BX22" s="1008">
        <f t="shared" si="10"/>
        <v>0</v>
      </c>
      <c r="BY22" s="1008">
        <f t="shared" si="10"/>
        <v>0</v>
      </c>
      <c r="BZ22" s="1008"/>
      <c r="CA22" s="1008"/>
      <c r="CB22" s="1008"/>
      <c r="CC22" s="1008"/>
      <c r="CD22" s="1008">
        <f t="shared" si="24"/>
        <v>0</v>
      </c>
      <c r="CE22" s="1008">
        <f t="shared" si="24"/>
        <v>0</v>
      </c>
      <c r="CF22" s="1008">
        <f t="shared" si="24"/>
        <v>0</v>
      </c>
      <c r="CG22" s="1008">
        <f t="shared" si="24"/>
        <v>0</v>
      </c>
      <c r="CH22" s="1008">
        <f t="shared" si="24"/>
        <v>0</v>
      </c>
      <c r="CI22" s="1008">
        <f t="shared" si="24"/>
        <v>0</v>
      </c>
      <c r="CJ22" s="1008"/>
      <c r="CK22" s="1008"/>
      <c r="CL22" s="1008">
        <f t="shared" si="12"/>
        <v>703893</v>
      </c>
      <c r="CM22" s="1011">
        <f t="shared" si="13"/>
        <v>0.54058722429906547</v>
      </c>
      <c r="CN22" s="1008">
        <f t="shared" si="14"/>
        <v>57842833</v>
      </c>
      <c r="CO22" s="1008"/>
      <c r="CP22" s="1008"/>
      <c r="CQ22" s="1008"/>
      <c r="CR22" s="1008"/>
      <c r="CS22" s="1008"/>
      <c r="CT22" s="1008"/>
      <c r="CU22" s="1008"/>
      <c r="CV22" s="1008"/>
      <c r="CW22" s="1008"/>
      <c r="CX22" s="1008"/>
      <c r="CY22" s="1008"/>
      <c r="CZ22" s="1008"/>
      <c r="DA22" s="1008"/>
      <c r="DB22" s="1008"/>
      <c r="DC22" s="1008"/>
      <c r="DD22" s="1008">
        <f>+'[18]OCTUBRE 2015'!$H$2971</f>
        <v>12411565</v>
      </c>
      <c r="DE22" s="1008"/>
      <c r="DF22" s="1008"/>
      <c r="DG22" s="1008"/>
      <c r="DH22" s="1008">
        <f>+'[18]OCTUBRE 2015'!$H$2941+'[18]OCTUBRE 2015'!$H$2952+'[18]OCTUBRE 2015'!$H$2955+'[18]OCTUBRE 2015'!$H$2979+'[18]OCTUBRE 2015'!$H$2982+'[18]OCTUBRE 2015'!$H$2983+'[18]OCTUBRE 2015'!$H$2985</f>
        <v>45431268</v>
      </c>
      <c r="DI22" s="1011">
        <f t="shared" si="15"/>
        <v>0.45941277570093453</v>
      </c>
      <c r="DJ22" s="1008">
        <f t="shared" si="16"/>
        <v>49157167</v>
      </c>
      <c r="DK22" s="1008">
        <f t="shared" si="17"/>
        <v>0</v>
      </c>
      <c r="DL22" s="1008">
        <f t="shared" si="17"/>
        <v>0</v>
      </c>
      <c r="DM22" s="1008"/>
      <c r="DN22" s="1008">
        <f t="shared" si="18"/>
        <v>0</v>
      </c>
      <c r="DO22" s="1008">
        <f t="shared" si="18"/>
        <v>0</v>
      </c>
      <c r="DP22" s="1008">
        <f t="shared" si="18"/>
        <v>0</v>
      </c>
      <c r="DQ22" s="1008">
        <f t="shared" si="18"/>
        <v>0</v>
      </c>
      <c r="DR22" s="1008"/>
      <c r="DS22" s="1008">
        <f t="shared" si="19"/>
        <v>0</v>
      </c>
      <c r="DT22" s="1008">
        <f t="shared" si="19"/>
        <v>0</v>
      </c>
      <c r="DU22" s="1008"/>
      <c r="DV22" s="1008">
        <f t="shared" si="20"/>
        <v>0</v>
      </c>
      <c r="DW22" s="1008">
        <f t="shared" si="20"/>
        <v>0</v>
      </c>
      <c r="DX22" s="1008">
        <f t="shared" si="20"/>
        <v>0</v>
      </c>
      <c r="DY22" s="1008">
        <f t="shared" si="21"/>
        <v>0</v>
      </c>
      <c r="DZ22" s="1008">
        <f t="shared" si="21"/>
        <v>37588435</v>
      </c>
      <c r="EA22" s="1008">
        <f t="shared" si="21"/>
        <v>0</v>
      </c>
      <c r="EB22" s="1008">
        <f t="shared" si="21"/>
        <v>0</v>
      </c>
      <c r="EC22" s="1008"/>
      <c r="ED22" s="1008">
        <f t="shared" si="22"/>
        <v>11568732</v>
      </c>
    </row>
    <row r="23" spans="1:134" ht="47.25" customHeight="1" x14ac:dyDescent="0.25">
      <c r="A23" s="1562"/>
      <c r="B23" s="1021"/>
      <c r="C23" s="1116" t="s">
        <v>4401</v>
      </c>
      <c r="D23" s="1019" t="s">
        <v>4571</v>
      </c>
      <c r="E23" s="1020">
        <v>510</v>
      </c>
      <c r="F23" s="1120" t="s">
        <v>4730</v>
      </c>
      <c r="G23" s="1401"/>
      <c r="H23" s="1061">
        <f t="shared" si="0"/>
        <v>170322247</v>
      </c>
      <c r="I23" s="1061">
        <f t="shared" si="1"/>
        <v>101877753</v>
      </c>
      <c r="J23" s="1401"/>
      <c r="K23" s="1119" t="s">
        <v>4769</v>
      </c>
      <c r="L23" s="1115" t="s">
        <v>4770</v>
      </c>
      <c r="M23" s="1115">
        <v>56</v>
      </c>
      <c r="N23" s="1115">
        <v>5</v>
      </c>
      <c r="O23" s="1115">
        <v>3</v>
      </c>
      <c r="P23" s="1115">
        <v>67</v>
      </c>
      <c r="Q23" s="1115">
        <v>71</v>
      </c>
      <c r="R23" s="1115">
        <v>47</v>
      </c>
      <c r="S23" s="1126"/>
      <c r="T23" s="1126"/>
      <c r="U23" s="1126"/>
      <c r="V23" s="1126"/>
      <c r="W23" s="1126"/>
      <c r="X23" s="1126"/>
      <c r="Y23" s="1008">
        <f t="shared" si="2"/>
        <v>272200000</v>
      </c>
      <c r="Z23" s="1008"/>
      <c r="AA23" s="1008"/>
      <c r="AB23" s="1008"/>
      <c r="AC23" s="1008"/>
      <c r="AD23" s="1008"/>
      <c r="AE23" s="1008"/>
      <c r="AF23" s="1008"/>
      <c r="AG23" s="1008"/>
      <c r="AH23" s="1008"/>
      <c r="AI23" s="1008"/>
      <c r="AJ23" s="1008"/>
      <c r="AK23" s="1008"/>
      <c r="AL23" s="1008"/>
      <c r="AM23" s="1008"/>
      <c r="AN23" s="1008">
        <f>100000000</f>
        <v>100000000</v>
      </c>
      <c r="AO23" s="1008">
        <v>170000000</v>
      </c>
      <c r="AP23" s="1008"/>
      <c r="AQ23" s="1008"/>
      <c r="AR23" s="1008"/>
      <c r="AS23" s="1008">
        <v>2200000</v>
      </c>
      <c r="AU23" s="1011">
        <f t="shared" si="3"/>
        <v>0.72653577149155035</v>
      </c>
      <c r="AV23" s="1008">
        <f t="shared" si="4"/>
        <v>197763037</v>
      </c>
      <c r="AW23" s="1008"/>
      <c r="AX23" s="1008"/>
      <c r="AY23" s="1008"/>
      <c r="AZ23" s="1008"/>
      <c r="BA23" s="1008"/>
      <c r="BB23" s="1008"/>
      <c r="BC23" s="1008"/>
      <c r="BD23" s="1008"/>
      <c r="BE23" s="1008"/>
      <c r="BF23" s="1008"/>
      <c r="BG23" s="1008"/>
      <c r="BH23" s="1008"/>
      <c r="BI23" s="1008"/>
      <c r="BJ23" s="1008"/>
      <c r="BK23" s="1008">
        <f>+'[18]OCTUBRE 2015'!$X$2991</f>
        <v>27763037</v>
      </c>
      <c r="BL23" s="1008">
        <f>+'[8]FEBRERO 2015'!$X$864</f>
        <v>170000000</v>
      </c>
      <c r="BM23" s="1008"/>
      <c r="BN23" s="1008"/>
      <c r="BO23" s="1008"/>
      <c r="BP23" s="1008"/>
      <c r="BQ23" s="1011">
        <f>1-AU23</f>
        <v>0.27346422850844965</v>
      </c>
      <c r="BR23" s="1008">
        <f t="shared" si="6"/>
        <v>74436963</v>
      </c>
      <c r="BS23" s="1008">
        <f t="shared" si="7"/>
        <v>0</v>
      </c>
      <c r="BT23" s="1008">
        <f t="shared" si="23"/>
        <v>0</v>
      </c>
      <c r="BU23" s="1008"/>
      <c r="BV23" s="1008">
        <f t="shared" si="9"/>
        <v>0</v>
      </c>
      <c r="BW23" s="1008"/>
      <c r="BX23" s="1008">
        <f t="shared" si="10"/>
        <v>0</v>
      </c>
      <c r="BY23" s="1008">
        <f t="shared" si="10"/>
        <v>0</v>
      </c>
      <c r="BZ23" s="1008"/>
      <c r="CA23" s="1008"/>
      <c r="CB23" s="1008"/>
      <c r="CC23" s="1008"/>
      <c r="CD23" s="1008">
        <f t="shared" si="24"/>
        <v>0</v>
      </c>
      <c r="CE23" s="1008">
        <f t="shared" si="24"/>
        <v>0</v>
      </c>
      <c r="CF23" s="1008">
        <f t="shared" si="24"/>
        <v>0</v>
      </c>
      <c r="CG23" s="1008">
        <f t="shared" si="24"/>
        <v>72236963</v>
      </c>
      <c r="CH23" s="1008">
        <f t="shared" si="24"/>
        <v>0</v>
      </c>
      <c r="CI23" s="1008">
        <f t="shared" si="24"/>
        <v>0</v>
      </c>
      <c r="CJ23" s="1008"/>
      <c r="CK23" s="1008"/>
      <c r="CL23" s="1008">
        <f t="shared" si="12"/>
        <v>2200000</v>
      </c>
      <c r="CM23" s="1011">
        <f t="shared" si="13"/>
        <v>0.6257246399706099</v>
      </c>
      <c r="CN23" s="1008">
        <f t="shared" si="14"/>
        <v>170322247</v>
      </c>
      <c r="CO23" s="1008"/>
      <c r="CP23" s="1008"/>
      <c r="CQ23" s="1008"/>
      <c r="CR23" s="1008"/>
      <c r="CS23" s="1008"/>
      <c r="CT23" s="1008"/>
      <c r="CU23" s="1008"/>
      <c r="CV23" s="1008"/>
      <c r="CW23" s="1008"/>
      <c r="CX23" s="1008"/>
      <c r="CY23" s="1008"/>
      <c r="CZ23" s="1008"/>
      <c r="DA23" s="1008"/>
      <c r="DB23" s="1008"/>
      <c r="DC23" s="1008">
        <f>+'[18]OCTUBRE 2015'!$H$3030</f>
        <v>473037</v>
      </c>
      <c r="DD23" s="1008">
        <f>+'[18]OCTUBRE 2015'!$H$2992</f>
        <v>169849210</v>
      </c>
      <c r="DE23" s="1008"/>
      <c r="DF23" s="1008"/>
      <c r="DG23" s="1008"/>
      <c r="DH23" s="1008"/>
      <c r="DI23" s="1011">
        <f t="shared" si="15"/>
        <v>0.3742753600293901</v>
      </c>
      <c r="DJ23" s="1008">
        <f t="shared" si="16"/>
        <v>101877753</v>
      </c>
      <c r="DK23" s="1008">
        <f t="shared" si="17"/>
        <v>0</v>
      </c>
      <c r="DL23" s="1008">
        <f t="shared" si="17"/>
        <v>0</v>
      </c>
      <c r="DM23" s="1008"/>
      <c r="DN23" s="1008">
        <f t="shared" si="18"/>
        <v>0</v>
      </c>
      <c r="DO23" s="1008">
        <f t="shared" si="18"/>
        <v>0</v>
      </c>
      <c r="DP23" s="1008">
        <f t="shared" si="18"/>
        <v>0</v>
      </c>
      <c r="DQ23" s="1008">
        <f t="shared" si="18"/>
        <v>0</v>
      </c>
      <c r="DR23" s="1008"/>
      <c r="DS23" s="1008">
        <f t="shared" si="19"/>
        <v>0</v>
      </c>
      <c r="DT23" s="1008">
        <f t="shared" si="19"/>
        <v>0</v>
      </c>
      <c r="DU23" s="1008"/>
      <c r="DV23" s="1008">
        <f t="shared" si="20"/>
        <v>0</v>
      </c>
      <c r="DW23" s="1008">
        <f t="shared" si="20"/>
        <v>0</v>
      </c>
      <c r="DX23" s="1008">
        <f t="shared" si="20"/>
        <v>0</v>
      </c>
      <c r="DY23" s="1008">
        <f t="shared" si="21"/>
        <v>99526963</v>
      </c>
      <c r="DZ23" s="1008">
        <f t="shared" si="21"/>
        <v>150790</v>
      </c>
      <c r="EA23" s="1008">
        <f t="shared" si="21"/>
        <v>0</v>
      </c>
      <c r="EB23" s="1008">
        <f t="shared" si="21"/>
        <v>0</v>
      </c>
      <c r="EC23" s="1008"/>
      <c r="ED23" s="1008">
        <f t="shared" si="22"/>
        <v>2200000</v>
      </c>
    </row>
    <row r="24" spans="1:134" ht="62.25" customHeight="1" x14ac:dyDescent="0.25">
      <c r="A24" s="1562"/>
      <c r="B24" s="1066" t="s">
        <v>4303</v>
      </c>
      <c r="C24" s="1116" t="s">
        <v>4402</v>
      </c>
      <c r="D24" s="1019" t="s">
        <v>4573</v>
      </c>
      <c r="E24" s="1020">
        <v>510</v>
      </c>
      <c r="F24" s="1120" t="s">
        <v>4660</v>
      </c>
      <c r="G24" s="1399">
        <v>180000000</v>
      </c>
      <c r="H24" s="1061">
        <f t="shared" si="0"/>
        <v>90400770</v>
      </c>
      <c r="I24" s="1061">
        <f t="shared" si="1"/>
        <v>9599230</v>
      </c>
      <c r="J24" s="1399" t="s">
        <v>4771</v>
      </c>
      <c r="K24" s="1590">
        <v>1</v>
      </c>
      <c r="L24" s="1283" t="s">
        <v>4772</v>
      </c>
      <c r="M24" s="1115">
        <v>0</v>
      </c>
      <c r="N24" s="1115">
        <v>0</v>
      </c>
      <c r="O24" s="1115">
        <v>0</v>
      </c>
      <c r="P24" s="1115">
        <v>26</v>
      </c>
      <c r="Q24" s="1115">
        <v>41</v>
      </c>
      <c r="R24" s="1115">
        <v>11</v>
      </c>
      <c r="S24" s="1124"/>
      <c r="T24" s="1124"/>
      <c r="U24" s="1124"/>
      <c r="V24" s="1124"/>
      <c r="W24" s="1124"/>
      <c r="X24" s="1124"/>
      <c r="Y24" s="1008">
        <f t="shared" si="2"/>
        <v>100000000</v>
      </c>
      <c r="Z24" s="1008"/>
      <c r="AA24" s="1008"/>
      <c r="AB24" s="1008"/>
      <c r="AC24" s="1008"/>
      <c r="AD24" s="1008"/>
      <c r="AE24" s="1008">
        <v>100000000</v>
      </c>
      <c r="AF24" s="1008"/>
      <c r="AG24" s="1008"/>
      <c r="AH24" s="1008"/>
      <c r="AI24" s="1008"/>
      <c r="AJ24" s="1008"/>
      <c r="AK24" s="1008"/>
      <c r="AL24" s="1008"/>
      <c r="AM24" s="1008"/>
      <c r="AN24" s="1008"/>
      <c r="AO24" s="1008"/>
      <c r="AP24" s="1008"/>
      <c r="AQ24" s="1008"/>
      <c r="AR24" s="1008"/>
      <c r="AS24" s="1008"/>
      <c r="AU24" s="1011">
        <f t="shared" si="3"/>
        <v>0.95474791000000003</v>
      </c>
      <c r="AV24" s="1008">
        <f t="shared" si="4"/>
        <v>95474791</v>
      </c>
      <c r="AW24" s="1008"/>
      <c r="AX24" s="1008"/>
      <c r="AY24" s="1008"/>
      <c r="AZ24" s="1008"/>
      <c r="BA24" s="1008"/>
      <c r="BB24" s="1008">
        <f>+'[18]OCTUBRE 2015'!$O$3038</f>
        <v>95474791</v>
      </c>
      <c r="BC24" s="1008"/>
      <c r="BD24" s="1008"/>
      <c r="BE24" s="1008"/>
      <c r="BF24" s="1008"/>
      <c r="BG24" s="1008"/>
      <c r="BH24" s="1008"/>
      <c r="BI24" s="1008"/>
      <c r="BJ24" s="1008"/>
      <c r="BK24" s="1008"/>
      <c r="BL24" s="1008"/>
      <c r="BM24" s="1008"/>
      <c r="BN24" s="1008"/>
      <c r="BO24" s="1008"/>
      <c r="BP24" s="1008"/>
      <c r="BQ24" s="1011">
        <f t="shared" ref="BQ24:BQ87" si="25">1-AU24</f>
        <v>4.5252089999999967E-2</v>
      </c>
      <c r="BR24" s="1008">
        <f t="shared" si="6"/>
        <v>4525209</v>
      </c>
      <c r="BS24" s="1008">
        <f t="shared" si="7"/>
        <v>0</v>
      </c>
      <c r="BT24" s="1008">
        <f t="shared" si="23"/>
        <v>0</v>
      </c>
      <c r="BU24" s="1008"/>
      <c r="BV24" s="1008">
        <f t="shared" si="9"/>
        <v>0</v>
      </c>
      <c r="BW24" s="1008"/>
      <c r="BX24" s="1008">
        <f t="shared" si="10"/>
        <v>4525209</v>
      </c>
      <c r="BY24" s="1008">
        <f t="shared" si="10"/>
        <v>0</v>
      </c>
      <c r="BZ24" s="1008"/>
      <c r="CA24" s="1008">
        <f>+AH24-BE24</f>
        <v>0</v>
      </c>
      <c r="CB24" s="1008">
        <f>+AI24-BF24</f>
        <v>0</v>
      </c>
      <c r="CC24" s="1008">
        <f>+AJ24-BG24</f>
        <v>0</v>
      </c>
      <c r="CD24" s="1008">
        <f t="shared" si="24"/>
        <v>0</v>
      </c>
      <c r="CE24" s="1008">
        <f t="shared" si="24"/>
        <v>0</v>
      </c>
      <c r="CF24" s="1008">
        <f t="shared" si="24"/>
        <v>0</v>
      </c>
      <c r="CG24" s="1008">
        <f t="shared" si="24"/>
        <v>0</v>
      </c>
      <c r="CH24" s="1008">
        <f t="shared" si="24"/>
        <v>0</v>
      </c>
      <c r="CI24" s="1008">
        <f t="shared" si="24"/>
        <v>0</v>
      </c>
      <c r="CJ24" s="1008">
        <f>+AQ24-BN24</f>
        <v>0</v>
      </c>
      <c r="CK24" s="1008">
        <f>+AR24-BO24</f>
        <v>0</v>
      </c>
      <c r="CL24" s="1008">
        <f t="shared" si="12"/>
        <v>0</v>
      </c>
      <c r="CM24" s="1011">
        <f t="shared" si="13"/>
        <v>0.90400769999999997</v>
      </c>
      <c r="CN24" s="1008">
        <f t="shared" si="14"/>
        <v>90400770</v>
      </c>
      <c r="CO24" s="1008"/>
      <c r="CP24" s="1008"/>
      <c r="CQ24" s="1008"/>
      <c r="CR24" s="1008"/>
      <c r="CS24" s="1008"/>
      <c r="CT24" s="1008">
        <f>+'[18]OCTUBRE 2015'!$H$3036</f>
        <v>90400770</v>
      </c>
      <c r="CU24" s="1008"/>
      <c r="CV24" s="1008"/>
      <c r="CW24" s="1008"/>
      <c r="CX24" s="1008"/>
      <c r="CY24" s="1008"/>
      <c r="CZ24" s="1008"/>
      <c r="DA24" s="1008"/>
      <c r="DB24" s="1008"/>
      <c r="DC24" s="1008"/>
      <c r="DD24" s="1008"/>
      <c r="DE24" s="1008"/>
      <c r="DF24" s="1008"/>
      <c r="DG24" s="1008"/>
      <c r="DH24" s="1008"/>
      <c r="DI24" s="1011">
        <f t="shared" si="15"/>
        <v>9.599230000000003E-2</v>
      </c>
      <c r="DJ24" s="1008">
        <f t="shared" si="16"/>
        <v>9599230</v>
      </c>
      <c r="DK24" s="1008">
        <f t="shared" si="17"/>
        <v>0</v>
      </c>
      <c r="DL24" s="1008">
        <f t="shared" si="17"/>
        <v>0</v>
      </c>
      <c r="DM24" s="1008"/>
      <c r="DN24" s="1008">
        <f t="shared" si="18"/>
        <v>0</v>
      </c>
      <c r="DO24" s="1008">
        <f t="shared" si="18"/>
        <v>0</v>
      </c>
      <c r="DP24" s="1008">
        <f t="shared" si="18"/>
        <v>9599230</v>
      </c>
      <c r="DQ24" s="1008">
        <f t="shared" si="18"/>
        <v>0</v>
      </c>
      <c r="DR24" s="1008"/>
      <c r="DS24" s="1008">
        <f t="shared" si="19"/>
        <v>0</v>
      </c>
      <c r="DT24" s="1008">
        <f t="shared" si="19"/>
        <v>0</v>
      </c>
      <c r="DU24" s="1008"/>
      <c r="DV24" s="1008">
        <f t="shared" si="20"/>
        <v>0</v>
      </c>
      <c r="DW24" s="1008">
        <f t="shared" si="20"/>
        <v>0</v>
      </c>
      <c r="DX24" s="1008">
        <f t="shared" si="20"/>
        <v>0</v>
      </c>
      <c r="DY24" s="1008">
        <f t="shared" si="21"/>
        <v>0</v>
      </c>
      <c r="DZ24" s="1008">
        <f t="shared" si="21"/>
        <v>0</v>
      </c>
      <c r="EA24" s="1008">
        <f t="shared" si="21"/>
        <v>0</v>
      </c>
      <c r="EB24" s="1008">
        <f t="shared" si="21"/>
        <v>0</v>
      </c>
      <c r="EC24" s="1008"/>
      <c r="ED24" s="1008">
        <f t="shared" si="22"/>
        <v>0</v>
      </c>
    </row>
    <row r="25" spans="1:134" ht="51.75" customHeight="1" x14ac:dyDescent="0.25">
      <c r="A25" s="1562"/>
      <c r="B25" s="1024"/>
      <c r="C25" s="1116" t="s">
        <v>4575</v>
      </c>
      <c r="D25" s="1019" t="s">
        <v>4574</v>
      </c>
      <c r="E25" s="1020">
        <v>510</v>
      </c>
      <c r="F25" s="1120" t="s">
        <v>4660</v>
      </c>
      <c r="G25" s="1400"/>
      <c r="H25" s="1061">
        <f t="shared" si="0"/>
        <v>11870754</v>
      </c>
      <c r="I25" s="1061">
        <f t="shared" si="1"/>
        <v>18129246</v>
      </c>
      <c r="J25" s="1400"/>
      <c r="K25" s="1591"/>
      <c r="L25" s="1573"/>
      <c r="M25" s="1115">
        <v>0</v>
      </c>
      <c r="N25" s="1115">
        <v>4</v>
      </c>
      <c r="O25" s="1115">
        <v>0</v>
      </c>
      <c r="P25" s="1115">
        <v>22</v>
      </c>
      <c r="Q25" s="1115">
        <v>26</v>
      </c>
      <c r="R25" s="1115">
        <v>6</v>
      </c>
      <c r="S25" s="1125"/>
      <c r="T25" s="1125"/>
      <c r="U25" s="1125"/>
      <c r="V25" s="1125"/>
      <c r="W25" s="1125"/>
      <c r="X25" s="1125"/>
      <c r="Y25" s="1008">
        <f t="shared" si="2"/>
        <v>30000000</v>
      </c>
      <c r="Z25" s="1008"/>
      <c r="AA25" s="1008"/>
      <c r="AB25" s="1008"/>
      <c r="AC25" s="1008"/>
      <c r="AD25" s="1008"/>
      <c r="AE25" s="1008">
        <v>20000000</v>
      </c>
      <c r="AF25" s="1008"/>
      <c r="AG25" s="1008"/>
      <c r="AH25" s="1008"/>
      <c r="AI25" s="1008"/>
      <c r="AJ25" s="1008"/>
      <c r="AK25" s="1008"/>
      <c r="AL25" s="1008"/>
      <c r="AM25" s="1008"/>
      <c r="AN25" s="1008">
        <v>10000000</v>
      </c>
      <c r="AO25" s="1008"/>
      <c r="AP25" s="1008"/>
      <c r="AQ25" s="1008"/>
      <c r="AR25" s="1008"/>
      <c r="AS25" s="1008"/>
      <c r="AU25" s="1011">
        <f t="shared" si="3"/>
        <v>0.39569179999999998</v>
      </c>
      <c r="AV25" s="1008">
        <f t="shared" si="4"/>
        <v>11870754</v>
      </c>
      <c r="AW25" s="1008"/>
      <c r="AX25" s="1008"/>
      <c r="AY25" s="1008"/>
      <c r="AZ25" s="1008"/>
      <c r="BA25" s="1008"/>
      <c r="BB25" s="1008">
        <f>+'[17]SEPTIEMBRE 2015'!$O$2626</f>
        <v>9801842</v>
      </c>
      <c r="BC25" s="1008"/>
      <c r="BD25" s="1008"/>
      <c r="BE25" s="1008"/>
      <c r="BF25" s="1008"/>
      <c r="BG25" s="1008"/>
      <c r="BH25" s="1008"/>
      <c r="BI25" s="1008"/>
      <c r="BJ25" s="1008"/>
      <c r="BK25" s="1008">
        <f>+'[14]JUNIO 2015'!$X$1613</f>
        <v>2068912</v>
      </c>
      <c r="BL25" s="1008"/>
      <c r="BM25" s="1008"/>
      <c r="BN25" s="1008"/>
      <c r="BO25" s="1008"/>
      <c r="BP25" s="1008"/>
      <c r="BQ25" s="1011">
        <f t="shared" si="25"/>
        <v>0.60430819999999996</v>
      </c>
      <c r="BR25" s="1008">
        <f t="shared" si="6"/>
        <v>18129246</v>
      </c>
      <c r="BS25" s="1008">
        <f t="shared" si="7"/>
        <v>0</v>
      </c>
      <c r="BT25" s="1008">
        <f t="shared" si="23"/>
        <v>0</v>
      </c>
      <c r="BU25" s="1008"/>
      <c r="BV25" s="1008">
        <f t="shared" si="9"/>
        <v>0</v>
      </c>
      <c r="BW25" s="1008"/>
      <c r="BX25" s="1008">
        <f t="shared" si="10"/>
        <v>10198158</v>
      </c>
      <c r="BY25" s="1008">
        <f t="shared" si="10"/>
        <v>0</v>
      </c>
      <c r="BZ25" s="1008"/>
      <c r="CA25" s="1008"/>
      <c r="CB25" s="1008"/>
      <c r="CC25" s="1008"/>
      <c r="CD25" s="1008">
        <f t="shared" si="24"/>
        <v>0</v>
      </c>
      <c r="CE25" s="1008">
        <f t="shared" si="24"/>
        <v>0</v>
      </c>
      <c r="CF25" s="1008">
        <f t="shared" si="24"/>
        <v>0</v>
      </c>
      <c r="CG25" s="1008">
        <f t="shared" si="24"/>
        <v>7931088</v>
      </c>
      <c r="CH25" s="1008">
        <f t="shared" si="24"/>
        <v>0</v>
      </c>
      <c r="CI25" s="1008">
        <f t="shared" si="24"/>
        <v>0</v>
      </c>
      <c r="CJ25" s="1008"/>
      <c r="CK25" s="1008"/>
      <c r="CL25" s="1008">
        <f t="shared" si="12"/>
        <v>0</v>
      </c>
      <c r="CM25" s="1011">
        <f t="shared" si="13"/>
        <v>0.39569179999999998</v>
      </c>
      <c r="CN25" s="1008">
        <f t="shared" si="14"/>
        <v>11870754</v>
      </c>
      <c r="CO25" s="1008"/>
      <c r="CP25" s="1008"/>
      <c r="CQ25" s="1008"/>
      <c r="CR25" s="1008"/>
      <c r="CS25" s="1008"/>
      <c r="CT25" s="1008">
        <f>+'[17]SEPTIEMBRE 2015'!$H$2624-DC25</f>
        <v>9801842</v>
      </c>
      <c r="CU25" s="1008"/>
      <c r="CV25" s="1008"/>
      <c r="CW25" s="1008"/>
      <c r="CX25" s="1008"/>
      <c r="CY25" s="1008"/>
      <c r="CZ25" s="1008"/>
      <c r="DA25" s="1008"/>
      <c r="DB25" s="1008"/>
      <c r="DC25" s="1008">
        <f>+'[17]SEPTIEMBRE 2015'!$H$2627+'[17]SEPTIEMBRE 2015'!$H$2628+'[17]SEPTIEMBRE 2015'!$H$2629</f>
        <v>2068912</v>
      </c>
      <c r="DD25" s="1008"/>
      <c r="DE25" s="1008"/>
      <c r="DF25" s="1008"/>
      <c r="DG25" s="1008"/>
      <c r="DH25" s="1008"/>
      <c r="DI25" s="1011">
        <f t="shared" si="15"/>
        <v>0.60430819999999996</v>
      </c>
      <c r="DJ25" s="1008">
        <f t="shared" si="16"/>
        <v>18129246</v>
      </c>
      <c r="DK25" s="1008">
        <f t="shared" si="17"/>
        <v>0</v>
      </c>
      <c r="DL25" s="1008">
        <f t="shared" si="17"/>
        <v>0</v>
      </c>
      <c r="DM25" s="1008"/>
      <c r="DN25" s="1008">
        <f t="shared" si="18"/>
        <v>0</v>
      </c>
      <c r="DO25" s="1008">
        <f t="shared" si="18"/>
        <v>0</v>
      </c>
      <c r="DP25" s="1008">
        <f t="shared" si="18"/>
        <v>10198158</v>
      </c>
      <c r="DQ25" s="1008">
        <f t="shared" si="18"/>
        <v>0</v>
      </c>
      <c r="DR25" s="1008"/>
      <c r="DS25" s="1008">
        <f t="shared" si="19"/>
        <v>0</v>
      </c>
      <c r="DT25" s="1008">
        <f t="shared" si="19"/>
        <v>0</v>
      </c>
      <c r="DU25" s="1008"/>
      <c r="DV25" s="1008">
        <f t="shared" si="20"/>
        <v>0</v>
      </c>
      <c r="DW25" s="1008">
        <f t="shared" si="20"/>
        <v>0</v>
      </c>
      <c r="DX25" s="1008">
        <f t="shared" si="20"/>
        <v>0</v>
      </c>
      <c r="DY25" s="1008">
        <f t="shared" si="21"/>
        <v>7931088</v>
      </c>
      <c r="DZ25" s="1008">
        <f t="shared" si="21"/>
        <v>0</v>
      </c>
      <c r="EA25" s="1008">
        <f t="shared" si="21"/>
        <v>0</v>
      </c>
      <c r="EB25" s="1008">
        <f t="shared" si="21"/>
        <v>0</v>
      </c>
      <c r="EC25" s="1008"/>
      <c r="ED25" s="1008">
        <f t="shared" si="22"/>
        <v>0</v>
      </c>
    </row>
    <row r="26" spans="1:134" ht="60" customHeight="1" x14ac:dyDescent="0.25">
      <c r="A26" s="1562"/>
      <c r="B26" s="1025"/>
      <c r="C26" s="1116" t="s">
        <v>4576</v>
      </c>
      <c r="D26" s="1019" t="s">
        <v>4703</v>
      </c>
      <c r="E26" s="1020">
        <v>510</v>
      </c>
      <c r="F26" s="1120" t="s">
        <v>4660</v>
      </c>
      <c r="G26" s="1401"/>
      <c r="H26" s="1061">
        <f t="shared" si="0"/>
        <v>0</v>
      </c>
      <c r="I26" s="1061">
        <f t="shared" si="1"/>
        <v>60000000</v>
      </c>
      <c r="J26" s="1401"/>
      <c r="K26" s="1592"/>
      <c r="L26" s="1284"/>
      <c r="M26" s="1115">
        <v>0</v>
      </c>
      <c r="N26" s="1115">
        <v>0</v>
      </c>
      <c r="O26" s="1115">
        <v>0</v>
      </c>
      <c r="P26" s="1115">
        <v>0</v>
      </c>
      <c r="Q26" s="1115">
        <v>0</v>
      </c>
      <c r="R26" s="1115">
        <v>0</v>
      </c>
      <c r="S26" s="1126"/>
      <c r="T26" s="1126"/>
      <c r="U26" s="1126"/>
      <c r="V26" s="1126"/>
      <c r="W26" s="1126"/>
      <c r="X26" s="1126"/>
      <c r="Y26" s="1008">
        <f t="shared" si="2"/>
        <v>60000000</v>
      </c>
      <c r="Z26" s="1008"/>
      <c r="AA26" s="1008"/>
      <c r="AB26" s="1008"/>
      <c r="AC26" s="1008"/>
      <c r="AD26" s="1008"/>
      <c r="AE26" s="1008">
        <v>60000000</v>
      </c>
      <c r="AF26" s="1008"/>
      <c r="AG26" s="1008"/>
      <c r="AH26" s="1008"/>
      <c r="AI26" s="1008"/>
      <c r="AJ26" s="1008"/>
      <c r="AK26" s="1008"/>
      <c r="AL26" s="1008"/>
      <c r="AM26" s="1008"/>
      <c r="AN26" s="1008"/>
      <c r="AO26" s="1008"/>
      <c r="AP26" s="1008"/>
      <c r="AQ26" s="1008"/>
      <c r="AR26" s="1008"/>
      <c r="AS26" s="1008"/>
      <c r="AU26" s="1011">
        <f t="shared" si="3"/>
        <v>0</v>
      </c>
      <c r="AV26" s="1008">
        <f t="shared" si="4"/>
        <v>0</v>
      </c>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11">
        <f t="shared" si="25"/>
        <v>1</v>
      </c>
      <c r="BR26" s="1008">
        <f t="shared" si="6"/>
        <v>60000000</v>
      </c>
      <c r="BS26" s="1008">
        <f t="shared" si="7"/>
        <v>0</v>
      </c>
      <c r="BT26" s="1008">
        <f t="shared" si="23"/>
        <v>0</v>
      </c>
      <c r="BU26" s="1008"/>
      <c r="BV26" s="1008">
        <f t="shared" si="9"/>
        <v>0</v>
      </c>
      <c r="BW26" s="1008"/>
      <c r="BX26" s="1008">
        <f t="shared" si="10"/>
        <v>60000000</v>
      </c>
      <c r="BY26" s="1008">
        <f t="shared" si="10"/>
        <v>0</v>
      </c>
      <c r="BZ26" s="1008"/>
      <c r="CA26" s="1008"/>
      <c r="CB26" s="1008"/>
      <c r="CC26" s="1008"/>
      <c r="CD26" s="1008">
        <f t="shared" si="24"/>
        <v>0</v>
      </c>
      <c r="CE26" s="1008">
        <f t="shared" si="24"/>
        <v>0</v>
      </c>
      <c r="CF26" s="1008">
        <f t="shared" si="24"/>
        <v>0</v>
      </c>
      <c r="CG26" s="1008">
        <f t="shared" si="24"/>
        <v>0</v>
      </c>
      <c r="CH26" s="1008">
        <f t="shared" si="24"/>
        <v>0</v>
      </c>
      <c r="CI26" s="1008">
        <f t="shared" si="24"/>
        <v>0</v>
      </c>
      <c r="CJ26" s="1008"/>
      <c r="CK26" s="1008"/>
      <c r="CL26" s="1008">
        <f t="shared" si="12"/>
        <v>0</v>
      </c>
      <c r="CM26" s="1011">
        <f t="shared" si="13"/>
        <v>0</v>
      </c>
      <c r="CN26" s="1008">
        <f t="shared" si="14"/>
        <v>0</v>
      </c>
      <c r="CO26" s="1008"/>
      <c r="CP26" s="1008"/>
      <c r="CQ26" s="1008"/>
      <c r="CR26" s="1008"/>
      <c r="CS26" s="1008"/>
      <c r="CT26" s="1008"/>
      <c r="CU26" s="1008"/>
      <c r="CV26" s="1008"/>
      <c r="CW26" s="1008"/>
      <c r="CX26" s="1008"/>
      <c r="CY26" s="1008"/>
      <c r="CZ26" s="1008"/>
      <c r="DA26" s="1008"/>
      <c r="DB26" s="1008"/>
      <c r="DC26" s="1008"/>
      <c r="DD26" s="1008"/>
      <c r="DE26" s="1008"/>
      <c r="DF26" s="1008"/>
      <c r="DG26" s="1008"/>
      <c r="DH26" s="1008"/>
      <c r="DI26" s="1011">
        <f t="shared" si="15"/>
        <v>1</v>
      </c>
      <c r="DJ26" s="1008">
        <f t="shared" si="16"/>
        <v>60000000</v>
      </c>
      <c r="DK26" s="1008">
        <f t="shared" si="17"/>
        <v>0</v>
      </c>
      <c r="DL26" s="1008">
        <f t="shared" si="17"/>
        <v>0</v>
      </c>
      <c r="DM26" s="1008"/>
      <c r="DN26" s="1008">
        <f t="shared" si="18"/>
        <v>0</v>
      </c>
      <c r="DO26" s="1008">
        <f t="shared" si="18"/>
        <v>0</v>
      </c>
      <c r="DP26" s="1008">
        <f t="shared" si="18"/>
        <v>60000000</v>
      </c>
      <c r="DQ26" s="1008">
        <f t="shared" si="18"/>
        <v>0</v>
      </c>
      <c r="DR26" s="1008"/>
      <c r="DS26" s="1008">
        <f t="shared" si="19"/>
        <v>0</v>
      </c>
      <c r="DT26" s="1008">
        <f t="shared" si="19"/>
        <v>0</v>
      </c>
      <c r="DU26" s="1008"/>
      <c r="DV26" s="1008">
        <f t="shared" si="20"/>
        <v>0</v>
      </c>
      <c r="DW26" s="1008">
        <f t="shared" si="20"/>
        <v>0</v>
      </c>
      <c r="DX26" s="1008">
        <f t="shared" si="20"/>
        <v>0</v>
      </c>
      <c r="DY26" s="1008">
        <f t="shared" si="21"/>
        <v>0</v>
      </c>
      <c r="DZ26" s="1008">
        <f t="shared" si="21"/>
        <v>0</v>
      </c>
      <c r="EA26" s="1008">
        <f t="shared" si="21"/>
        <v>0</v>
      </c>
      <c r="EB26" s="1008">
        <f t="shared" si="21"/>
        <v>0</v>
      </c>
      <c r="EC26" s="1008"/>
      <c r="ED26" s="1008">
        <f t="shared" si="22"/>
        <v>0</v>
      </c>
    </row>
    <row r="27" spans="1:134" ht="31.5" customHeight="1" x14ac:dyDescent="0.25">
      <c r="A27" s="1562"/>
      <c r="B27" s="1021" t="s">
        <v>4304</v>
      </c>
      <c r="C27" s="1116" t="s">
        <v>4403</v>
      </c>
      <c r="D27" s="1019" t="s">
        <v>4577</v>
      </c>
      <c r="E27" s="1020">
        <v>510</v>
      </c>
      <c r="F27" s="1120" t="s">
        <v>4660</v>
      </c>
      <c r="G27" s="1399">
        <v>80000000</v>
      </c>
      <c r="H27" s="1061">
        <f t="shared" si="0"/>
        <v>0</v>
      </c>
      <c r="I27" s="1061">
        <f t="shared" si="1"/>
        <v>0</v>
      </c>
      <c r="J27" s="1399" t="s">
        <v>4773</v>
      </c>
      <c r="K27" s="1283" t="s">
        <v>4774</v>
      </c>
      <c r="L27" s="1283" t="s">
        <v>4775</v>
      </c>
      <c r="M27" s="1115">
        <v>0</v>
      </c>
      <c r="N27" s="1115">
        <v>0</v>
      </c>
      <c r="O27" s="1115">
        <v>0</v>
      </c>
      <c r="P27" s="1115">
        <v>0</v>
      </c>
      <c r="Q27" s="1115">
        <v>20</v>
      </c>
      <c r="R27" s="1115">
        <v>0</v>
      </c>
      <c r="S27" s="1124"/>
      <c r="T27" s="1124"/>
      <c r="U27" s="1124"/>
      <c r="V27" s="1124"/>
      <c r="W27" s="1124"/>
      <c r="X27" s="1124"/>
      <c r="Y27" s="1008">
        <f t="shared" si="2"/>
        <v>0</v>
      </c>
      <c r="Z27" s="1008"/>
      <c r="AA27" s="1008"/>
      <c r="AB27" s="1008"/>
      <c r="AC27" s="1008"/>
      <c r="AD27" s="1008"/>
      <c r="AE27" s="1008"/>
      <c r="AF27" s="1008"/>
      <c r="AG27" s="1008"/>
      <c r="AH27" s="1008"/>
      <c r="AI27" s="1008"/>
      <c r="AJ27" s="1008"/>
      <c r="AK27" s="1008"/>
      <c r="AL27" s="1008"/>
      <c r="AM27" s="1008">
        <f>40000000-40000000</f>
        <v>0</v>
      </c>
      <c r="AN27" s="1008"/>
      <c r="AO27" s="1008"/>
      <c r="AP27" s="1008"/>
      <c r="AQ27" s="1008"/>
      <c r="AR27" s="1008"/>
      <c r="AS27" s="1008"/>
      <c r="AU27" s="1011">
        <v>0</v>
      </c>
      <c r="AV27" s="1008">
        <f t="shared" si="4"/>
        <v>0</v>
      </c>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11">
        <v>0</v>
      </c>
      <c r="BR27" s="1008">
        <f t="shared" si="6"/>
        <v>0</v>
      </c>
      <c r="BS27" s="1008">
        <f t="shared" si="7"/>
        <v>0</v>
      </c>
      <c r="BT27" s="1008">
        <f t="shared" si="23"/>
        <v>0</v>
      </c>
      <c r="BU27" s="1008"/>
      <c r="BV27" s="1008">
        <f t="shared" si="9"/>
        <v>0</v>
      </c>
      <c r="BW27" s="1008"/>
      <c r="BX27" s="1008">
        <f t="shared" si="10"/>
        <v>0</v>
      </c>
      <c r="BY27" s="1008">
        <f t="shared" si="10"/>
        <v>0</v>
      </c>
      <c r="BZ27" s="1008"/>
      <c r="CA27" s="1008"/>
      <c r="CB27" s="1008"/>
      <c r="CC27" s="1008"/>
      <c r="CD27" s="1008">
        <f t="shared" si="24"/>
        <v>0</v>
      </c>
      <c r="CE27" s="1008">
        <f t="shared" si="24"/>
        <v>0</v>
      </c>
      <c r="CF27" s="1008">
        <f t="shared" si="24"/>
        <v>0</v>
      </c>
      <c r="CG27" s="1008">
        <f t="shared" si="24"/>
        <v>0</v>
      </c>
      <c r="CH27" s="1008">
        <f t="shared" si="24"/>
        <v>0</v>
      </c>
      <c r="CI27" s="1008">
        <f t="shared" si="24"/>
        <v>0</v>
      </c>
      <c r="CJ27" s="1008"/>
      <c r="CK27" s="1008"/>
      <c r="CL27" s="1008">
        <f t="shared" si="12"/>
        <v>0</v>
      </c>
      <c r="CM27" s="1011">
        <v>0</v>
      </c>
      <c r="CN27" s="1008">
        <f t="shared" si="14"/>
        <v>0</v>
      </c>
      <c r="CO27" s="1008"/>
      <c r="CP27" s="1008"/>
      <c r="CQ27" s="1008"/>
      <c r="CR27" s="1008"/>
      <c r="CS27" s="1008"/>
      <c r="CT27" s="1008"/>
      <c r="CU27" s="1008"/>
      <c r="CV27" s="1008"/>
      <c r="CW27" s="1008"/>
      <c r="CX27" s="1008"/>
      <c r="CY27" s="1008"/>
      <c r="CZ27" s="1008"/>
      <c r="DA27" s="1008"/>
      <c r="DB27" s="1008"/>
      <c r="DC27" s="1008"/>
      <c r="DD27" s="1008"/>
      <c r="DE27" s="1008"/>
      <c r="DF27" s="1008"/>
      <c r="DG27" s="1008"/>
      <c r="DH27" s="1008"/>
      <c r="DI27" s="1011">
        <v>0</v>
      </c>
      <c r="DJ27" s="1008">
        <f t="shared" si="16"/>
        <v>0</v>
      </c>
      <c r="DK27" s="1008">
        <f t="shared" si="17"/>
        <v>0</v>
      </c>
      <c r="DL27" s="1008">
        <f t="shared" si="17"/>
        <v>0</v>
      </c>
      <c r="DM27" s="1008"/>
      <c r="DN27" s="1008">
        <f t="shared" si="18"/>
        <v>0</v>
      </c>
      <c r="DO27" s="1008">
        <f t="shared" si="18"/>
        <v>0</v>
      </c>
      <c r="DP27" s="1008">
        <f t="shared" si="18"/>
        <v>0</v>
      </c>
      <c r="DQ27" s="1008">
        <f t="shared" si="18"/>
        <v>0</v>
      </c>
      <c r="DR27" s="1008"/>
      <c r="DS27" s="1008">
        <f t="shared" si="19"/>
        <v>0</v>
      </c>
      <c r="DT27" s="1008">
        <f t="shared" si="19"/>
        <v>0</v>
      </c>
      <c r="DU27" s="1008"/>
      <c r="DV27" s="1008">
        <f t="shared" si="20"/>
        <v>0</v>
      </c>
      <c r="DW27" s="1008">
        <f t="shared" si="20"/>
        <v>0</v>
      </c>
      <c r="DX27" s="1008">
        <f t="shared" si="20"/>
        <v>0</v>
      </c>
      <c r="DY27" s="1008">
        <f t="shared" si="21"/>
        <v>0</v>
      </c>
      <c r="DZ27" s="1008">
        <f t="shared" si="21"/>
        <v>0</v>
      </c>
      <c r="EA27" s="1008">
        <f t="shared" si="21"/>
        <v>0</v>
      </c>
      <c r="EB27" s="1008">
        <f t="shared" si="21"/>
        <v>0</v>
      </c>
      <c r="EC27" s="1008"/>
      <c r="ED27" s="1008">
        <f t="shared" si="22"/>
        <v>0</v>
      </c>
    </row>
    <row r="28" spans="1:134" ht="39.75" customHeight="1" x14ac:dyDescent="0.25">
      <c r="A28" s="1562"/>
      <c r="B28" s="1021"/>
      <c r="C28" s="1116" t="s">
        <v>4598</v>
      </c>
      <c r="D28" s="1019" t="s">
        <v>4578</v>
      </c>
      <c r="E28" s="1020">
        <v>510</v>
      </c>
      <c r="F28" s="1120" t="s">
        <v>4660</v>
      </c>
      <c r="G28" s="1400"/>
      <c r="H28" s="1061">
        <f t="shared" si="0"/>
        <v>0</v>
      </c>
      <c r="I28" s="1061">
        <f t="shared" si="1"/>
        <v>45000000</v>
      </c>
      <c r="J28" s="1400"/>
      <c r="K28" s="1573"/>
      <c r="L28" s="1573"/>
      <c r="M28" s="1115">
        <v>0</v>
      </c>
      <c r="N28" s="1115">
        <v>0</v>
      </c>
      <c r="O28" s="1115">
        <v>0</v>
      </c>
      <c r="P28" s="1115">
        <v>0</v>
      </c>
      <c r="Q28" s="1115">
        <v>0</v>
      </c>
      <c r="R28" s="1115">
        <v>0</v>
      </c>
      <c r="S28" s="1125"/>
      <c r="T28" s="1125"/>
      <c r="U28" s="1125"/>
      <c r="V28" s="1125"/>
      <c r="W28" s="1125"/>
      <c r="X28" s="1125"/>
      <c r="Y28" s="1008">
        <f t="shared" si="2"/>
        <v>45000000</v>
      </c>
      <c r="Z28" s="1008"/>
      <c r="AA28" s="1008"/>
      <c r="AB28" s="1008"/>
      <c r="AC28" s="1008"/>
      <c r="AD28" s="1008"/>
      <c r="AE28" s="1008"/>
      <c r="AF28" s="1008"/>
      <c r="AG28" s="1008"/>
      <c r="AH28" s="1008"/>
      <c r="AI28" s="1008"/>
      <c r="AJ28" s="1008"/>
      <c r="AK28" s="1008"/>
      <c r="AL28" s="1008"/>
      <c r="AM28" s="1008">
        <f>5000000+40000000</f>
        <v>45000000</v>
      </c>
      <c r="AN28" s="1008"/>
      <c r="AO28" s="1008"/>
      <c r="AP28" s="1008"/>
      <c r="AQ28" s="1008"/>
      <c r="AR28" s="1008"/>
      <c r="AS28" s="1008"/>
      <c r="AU28" s="1011">
        <f t="shared" si="3"/>
        <v>0</v>
      </c>
      <c r="AV28" s="1008">
        <f t="shared" si="4"/>
        <v>0</v>
      </c>
      <c r="AW28" s="1008"/>
      <c r="AX28" s="1008"/>
      <c r="AY28" s="1008"/>
      <c r="AZ28" s="1008"/>
      <c r="BA28" s="1008"/>
      <c r="BB28" s="1008"/>
      <c r="BC28" s="1008"/>
      <c r="BD28" s="1008"/>
      <c r="BE28" s="1008"/>
      <c r="BF28" s="1008"/>
      <c r="BG28" s="1008"/>
      <c r="BH28" s="1008"/>
      <c r="BI28" s="1008"/>
      <c r="BJ28" s="1008"/>
      <c r="BK28" s="1008"/>
      <c r="BL28" s="1008"/>
      <c r="BM28" s="1008"/>
      <c r="BN28" s="1008"/>
      <c r="BO28" s="1008"/>
      <c r="BP28" s="1008"/>
      <c r="BQ28" s="1011">
        <f t="shared" si="25"/>
        <v>1</v>
      </c>
      <c r="BR28" s="1008">
        <f t="shared" si="6"/>
        <v>45000000</v>
      </c>
      <c r="BS28" s="1008">
        <f t="shared" si="7"/>
        <v>0</v>
      </c>
      <c r="BT28" s="1008">
        <f t="shared" si="23"/>
        <v>0</v>
      </c>
      <c r="BU28" s="1008"/>
      <c r="BV28" s="1008">
        <f t="shared" si="9"/>
        <v>0</v>
      </c>
      <c r="BW28" s="1008"/>
      <c r="BX28" s="1008">
        <f t="shared" si="10"/>
        <v>0</v>
      </c>
      <c r="BY28" s="1008">
        <f t="shared" si="10"/>
        <v>0</v>
      </c>
      <c r="BZ28" s="1008"/>
      <c r="CA28" s="1008"/>
      <c r="CB28" s="1008"/>
      <c r="CC28" s="1008"/>
      <c r="CD28" s="1008">
        <f t="shared" si="24"/>
        <v>0</v>
      </c>
      <c r="CE28" s="1008">
        <f t="shared" si="24"/>
        <v>0</v>
      </c>
      <c r="CF28" s="1008">
        <f t="shared" si="24"/>
        <v>45000000</v>
      </c>
      <c r="CG28" s="1008">
        <f t="shared" si="24"/>
        <v>0</v>
      </c>
      <c r="CH28" s="1008">
        <f t="shared" si="24"/>
        <v>0</v>
      </c>
      <c r="CI28" s="1008">
        <f t="shared" si="24"/>
        <v>0</v>
      </c>
      <c r="CJ28" s="1008"/>
      <c r="CK28" s="1008"/>
      <c r="CL28" s="1008">
        <f t="shared" si="12"/>
        <v>0</v>
      </c>
      <c r="CM28" s="1011">
        <f t="shared" si="13"/>
        <v>0</v>
      </c>
      <c r="CN28" s="1008">
        <f t="shared" si="14"/>
        <v>0</v>
      </c>
      <c r="CO28" s="1008"/>
      <c r="CP28" s="1008"/>
      <c r="CQ28" s="1008"/>
      <c r="CR28" s="1008"/>
      <c r="CS28" s="1008"/>
      <c r="CT28" s="1008"/>
      <c r="CU28" s="1008"/>
      <c r="CV28" s="1008"/>
      <c r="CW28" s="1008"/>
      <c r="CX28" s="1008"/>
      <c r="CY28" s="1008"/>
      <c r="CZ28" s="1008"/>
      <c r="DA28" s="1008"/>
      <c r="DB28" s="1008"/>
      <c r="DC28" s="1008"/>
      <c r="DD28" s="1008"/>
      <c r="DE28" s="1008"/>
      <c r="DF28" s="1008"/>
      <c r="DG28" s="1008"/>
      <c r="DH28" s="1008"/>
      <c r="DI28" s="1011">
        <f t="shared" si="15"/>
        <v>1</v>
      </c>
      <c r="DJ28" s="1008">
        <f t="shared" si="16"/>
        <v>45000000</v>
      </c>
      <c r="DK28" s="1008">
        <f t="shared" si="17"/>
        <v>0</v>
      </c>
      <c r="DL28" s="1008">
        <f t="shared" si="17"/>
        <v>0</v>
      </c>
      <c r="DM28" s="1008"/>
      <c r="DN28" s="1008">
        <f t="shared" si="18"/>
        <v>0</v>
      </c>
      <c r="DO28" s="1008">
        <f t="shared" si="18"/>
        <v>0</v>
      </c>
      <c r="DP28" s="1008">
        <f t="shared" si="18"/>
        <v>0</v>
      </c>
      <c r="DQ28" s="1008">
        <f t="shared" si="18"/>
        <v>0</v>
      </c>
      <c r="DR28" s="1008"/>
      <c r="DS28" s="1008">
        <f t="shared" si="19"/>
        <v>0</v>
      </c>
      <c r="DT28" s="1008">
        <f t="shared" si="19"/>
        <v>0</v>
      </c>
      <c r="DU28" s="1008"/>
      <c r="DV28" s="1008">
        <f t="shared" si="20"/>
        <v>0</v>
      </c>
      <c r="DW28" s="1008">
        <f t="shared" si="20"/>
        <v>0</v>
      </c>
      <c r="DX28" s="1008">
        <f t="shared" si="20"/>
        <v>45000000</v>
      </c>
      <c r="DY28" s="1008">
        <f t="shared" si="21"/>
        <v>0</v>
      </c>
      <c r="DZ28" s="1008">
        <f t="shared" si="21"/>
        <v>0</v>
      </c>
      <c r="EA28" s="1008">
        <f t="shared" si="21"/>
        <v>0</v>
      </c>
      <c r="EB28" s="1008">
        <f t="shared" si="21"/>
        <v>0</v>
      </c>
      <c r="EC28" s="1008"/>
      <c r="ED28" s="1008">
        <f t="shared" si="22"/>
        <v>0</v>
      </c>
    </row>
    <row r="29" spans="1:134" ht="48.75" customHeight="1" x14ac:dyDescent="0.25">
      <c r="A29" s="1562"/>
      <c r="B29" s="1021"/>
      <c r="C29" s="1116" t="s">
        <v>4599</v>
      </c>
      <c r="D29" s="1019" t="s">
        <v>4686</v>
      </c>
      <c r="E29" s="1020">
        <v>510</v>
      </c>
      <c r="F29" s="1120" t="s">
        <v>4660</v>
      </c>
      <c r="G29" s="1401"/>
      <c r="H29" s="1061">
        <f t="shared" si="0"/>
        <v>0</v>
      </c>
      <c r="I29" s="1061">
        <f t="shared" si="1"/>
        <v>65000000</v>
      </c>
      <c r="J29" s="1401"/>
      <c r="K29" s="1284"/>
      <c r="L29" s="1284"/>
      <c r="M29" s="1115">
        <v>0</v>
      </c>
      <c r="N29" s="1115">
        <v>0</v>
      </c>
      <c r="O29" s="1115">
        <v>0</v>
      </c>
      <c r="P29" s="1115">
        <v>0</v>
      </c>
      <c r="Q29" s="1115">
        <v>20</v>
      </c>
      <c r="R29" s="1115">
        <v>0</v>
      </c>
      <c r="S29" s="1126"/>
      <c r="T29" s="1126"/>
      <c r="U29" s="1126"/>
      <c r="V29" s="1126"/>
      <c r="W29" s="1126"/>
      <c r="X29" s="1126"/>
      <c r="Y29" s="1008">
        <f t="shared" si="2"/>
        <v>65000000</v>
      </c>
      <c r="Z29" s="1008"/>
      <c r="AA29" s="1008"/>
      <c r="AB29" s="1008"/>
      <c r="AC29" s="1008"/>
      <c r="AD29" s="1008"/>
      <c r="AE29" s="1008"/>
      <c r="AF29" s="1008"/>
      <c r="AG29" s="1008"/>
      <c r="AH29" s="1008"/>
      <c r="AI29" s="1008"/>
      <c r="AJ29" s="1008"/>
      <c r="AK29" s="1008"/>
      <c r="AL29" s="1008"/>
      <c r="AM29" s="1008">
        <v>35000000</v>
      </c>
      <c r="AN29" s="1008">
        <v>30000000</v>
      </c>
      <c r="AO29" s="1008"/>
      <c r="AP29" s="1008"/>
      <c r="AQ29" s="1008"/>
      <c r="AR29" s="1008"/>
      <c r="AS29" s="1008"/>
      <c r="AU29" s="1011">
        <f t="shared" si="3"/>
        <v>0</v>
      </c>
      <c r="AV29" s="1008">
        <f t="shared" si="4"/>
        <v>0</v>
      </c>
      <c r="AW29" s="1008"/>
      <c r="AX29" s="1008"/>
      <c r="AY29" s="1008"/>
      <c r="AZ29" s="1008"/>
      <c r="BA29" s="1008"/>
      <c r="BB29" s="1008"/>
      <c r="BC29" s="1008"/>
      <c r="BD29" s="1008"/>
      <c r="BE29" s="1008"/>
      <c r="BF29" s="1008"/>
      <c r="BG29" s="1008"/>
      <c r="BH29" s="1008"/>
      <c r="BI29" s="1008"/>
      <c r="BJ29" s="1008"/>
      <c r="BK29" s="1008"/>
      <c r="BL29" s="1008"/>
      <c r="BM29" s="1008"/>
      <c r="BN29" s="1008"/>
      <c r="BO29" s="1008"/>
      <c r="BP29" s="1008"/>
      <c r="BQ29" s="1011">
        <f t="shared" si="25"/>
        <v>1</v>
      </c>
      <c r="BR29" s="1008">
        <f t="shared" si="6"/>
        <v>65000000</v>
      </c>
      <c r="BS29" s="1008">
        <f t="shared" si="7"/>
        <v>0</v>
      </c>
      <c r="BT29" s="1008">
        <f t="shared" si="23"/>
        <v>0</v>
      </c>
      <c r="BU29" s="1008"/>
      <c r="BV29" s="1008">
        <f t="shared" si="9"/>
        <v>0</v>
      </c>
      <c r="BW29" s="1008"/>
      <c r="BX29" s="1008">
        <f t="shared" si="10"/>
        <v>0</v>
      </c>
      <c r="BY29" s="1008">
        <f t="shared" si="10"/>
        <v>0</v>
      </c>
      <c r="BZ29" s="1008"/>
      <c r="CA29" s="1008"/>
      <c r="CB29" s="1008"/>
      <c r="CC29" s="1008"/>
      <c r="CD29" s="1008">
        <f t="shared" si="24"/>
        <v>0</v>
      </c>
      <c r="CE29" s="1008">
        <f t="shared" si="24"/>
        <v>0</v>
      </c>
      <c r="CF29" s="1008">
        <f t="shared" si="24"/>
        <v>35000000</v>
      </c>
      <c r="CG29" s="1008">
        <f t="shared" si="24"/>
        <v>30000000</v>
      </c>
      <c r="CH29" s="1008">
        <f t="shared" si="24"/>
        <v>0</v>
      </c>
      <c r="CI29" s="1008">
        <f t="shared" si="24"/>
        <v>0</v>
      </c>
      <c r="CJ29" s="1008"/>
      <c r="CK29" s="1008"/>
      <c r="CL29" s="1008">
        <f t="shared" si="12"/>
        <v>0</v>
      </c>
      <c r="CM29" s="1011">
        <f t="shared" si="13"/>
        <v>0</v>
      </c>
      <c r="CN29" s="1008">
        <f t="shared" si="14"/>
        <v>0</v>
      </c>
      <c r="CO29" s="1008"/>
      <c r="CP29" s="1008"/>
      <c r="CQ29" s="1008"/>
      <c r="CR29" s="1008"/>
      <c r="CS29" s="1008"/>
      <c r="CT29" s="1008"/>
      <c r="CU29" s="1008"/>
      <c r="CV29" s="1008"/>
      <c r="CW29" s="1008"/>
      <c r="CX29" s="1008"/>
      <c r="CY29" s="1008"/>
      <c r="CZ29" s="1008"/>
      <c r="DA29" s="1008"/>
      <c r="DB29" s="1008"/>
      <c r="DC29" s="1008"/>
      <c r="DD29" s="1008"/>
      <c r="DE29" s="1008"/>
      <c r="DF29" s="1008"/>
      <c r="DG29" s="1008"/>
      <c r="DH29" s="1008"/>
      <c r="DI29" s="1011">
        <f t="shared" si="15"/>
        <v>1</v>
      </c>
      <c r="DJ29" s="1008">
        <f t="shared" si="16"/>
        <v>65000000</v>
      </c>
      <c r="DK29" s="1008">
        <f t="shared" si="17"/>
        <v>0</v>
      </c>
      <c r="DL29" s="1008">
        <f t="shared" si="17"/>
        <v>0</v>
      </c>
      <c r="DM29" s="1008"/>
      <c r="DN29" s="1008">
        <f t="shared" si="18"/>
        <v>0</v>
      </c>
      <c r="DO29" s="1008">
        <f t="shared" si="18"/>
        <v>0</v>
      </c>
      <c r="DP29" s="1008">
        <f t="shared" si="18"/>
        <v>0</v>
      </c>
      <c r="DQ29" s="1008">
        <f t="shared" si="18"/>
        <v>0</v>
      </c>
      <c r="DR29" s="1008"/>
      <c r="DS29" s="1008">
        <f t="shared" si="19"/>
        <v>0</v>
      </c>
      <c r="DT29" s="1008">
        <f t="shared" si="19"/>
        <v>0</v>
      </c>
      <c r="DU29" s="1008"/>
      <c r="DV29" s="1008">
        <f t="shared" si="20"/>
        <v>0</v>
      </c>
      <c r="DW29" s="1008">
        <f t="shared" si="20"/>
        <v>0</v>
      </c>
      <c r="DX29" s="1008">
        <f t="shared" si="20"/>
        <v>35000000</v>
      </c>
      <c r="DY29" s="1008">
        <f t="shared" si="21"/>
        <v>30000000</v>
      </c>
      <c r="DZ29" s="1008">
        <f t="shared" si="21"/>
        <v>0</v>
      </c>
      <c r="EA29" s="1008">
        <f t="shared" si="21"/>
        <v>0</v>
      </c>
      <c r="EB29" s="1008">
        <f t="shared" si="21"/>
        <v>0</v>
      </c>
      <c r="EC29" s="1008"/>
      <c r="ED29" s="1008">
        <f t="shared" si="22"/>
        <v>0</v>
      </c>
    </row>
    <row r="30" spans="1:134" ht="36" customHeight="1" x14ac:dyDescent="0.25">
      <c r="A30" s="1562"/>
      <c r="B30" s="1547" t="s">
        <v>4305</v>
      </c>
      <c r="C30" s="1116" t="s">
        <v>4404</v>
      </c>
      <c r="D30" s="1019" t="s">
        <v>4700</v>
      </c>
      <c r="E30" s="1020">
        <v>510</v>
      </c>
      <c r="F30" s="1120" t="s">
        <v>4660</v>
      </c>
      <c r="G30" s="1399">
        <v>111000000</v>
      </c>
      <c r="H30" s="1061">
        <f t="shared" si="0"/>
        <v>876100</v>
      </c>
      <c r="I30" s="1061">
        <f t="shared" si="1"/>
        <v>1123900</v>
      </c>
      <c r="J30" s="1399" t="s">
        <v>4776</v>
      </c>
      <c r="K30" s="1283" t="s">
        <v>4777</v>
      </c>
      <c r="L30" s="1283" t="s">
        <v>4778</v>
      </c>
      <c r="M30" s="1115">
        <v>0</v>
      </c>
      <c r="N30" s="1115">
        <v>0</v>
      </c>
      <c r="O30" s="1115">
        <v>0</v>
      </c>
      <c r="P30" s="1115">
        <v>44</v>
      </c>
      <c r="Q30" s="1115">
        <v>10</v>
      </c>
      <c r="R30" s="1115">
        <v>40</v>
      </c>
      <c r="S30" s="1124"/>
      <c r="T30" s="1124"/>
      <c r="U30" s="1124"/>
      <c r="V30" s="1124"/>
      <c r="W30" s="1124"/>
      <c r="X30" s="1124"/>
      <c r="Y30" s="1008">
        <f t="shared" si="2"/>
        <v>2000000</v>
      </c>
      <c r="Z30" s="1008"/>
      <c r="AA30" s="1008"/>
      <c r="AB30" s="1008"/>
      <c r="AC30" s="1008"/>
      <c r="AD30" s="1008"/>
      <c r="AE30" s="1008"/>
      <c r="AF30" s="1008"/>
      <c r="AG30" s="1008"/>
      <c r="AH30" s="1008"/>
      <c r="AI30" s="1008"/>
      <c r="AJ30" s="1008"/>
      <c r="AK30" s="1008"/>
      <c r="AL30" s="1008"/>
      <c r="AM30" s="1008">
        <v>2000000</v>
      </c>
      <c r="AN30" s="1008"/>
      <c r="AO30" s="1008"/>
      <c r="AP30" s="1008"/>
      <c r="AQ30" s="1008"/>
      <c r="AR30" s="1008"/>
      <c r="AS30" s="1008"/>
      <c r="AU30" s="1011">
        <f t="shared" si="3"/>
        <v>0.97804999999999997</v>
      </c>
      <c r="AV30" s="1008">
        <f t="shared" si="4"/>
        <v>1956100</v>
      </c>
      <c r="AW30" s="1008"/>
      <c r="AX30" s="1008"/>
      <c r="AY30" s="1008"/>
      <c r="AZ30" s="1008"/>
      <c r="BA30" s="1008"/>
      <c r="BB30" s="1008"/>
      <c r="BC30" s="1008"/>
      <c r="BD30" s="1008"/>
      <c r="BE30" s="1008"/>
      <c r="BF30" s="1008"/>
      <c r="BG30" s="1008"/>
      <c r="BH30" s="1008"/>
      <c r="BI30" s="1008"/>
      <c r="BJ30" s="1008">
        <f>+'[18]OCTUBRE 2015'!$W$3096</f>
        <v>1956100</v>
      </c>
      <c r="BK30" s="1008"/>
      <c r="BL30" s="1008"/>
      <c r="BM30" s="1008"/>
      <c r="BN30" s="1008"/>
      <c r="BO30" s="1008"/>
      <c r="BP30" s="1008"/>
      <c r="BQ30" s="1011">
        <f t="shared" si="25"/>
        <v>2.1950000000000025E-2</v>
      </c>
      <c r="BR30" s="1008">
        <f t="shared" si="6"/>
        <v>43900</v>
      </c>
      <c r="BS30" s="1008">
        <f t="shared" si="7"/>
        <v>0</v>
      </c>
      <c r="BT30" s="1008">
        <f t="shared" si="23"/>
        <v>0</v>
      </c>
      <c r="BU30" s="1008"/>
      <c r="BV30" s="1008">
        <f t="shared" si="9"/>
        <v>0</v>
      </c>
      <c r="BW30" s="1008"/>
      <c r="BX30" s="1008">
        <f t="shared" si="10"/>
        <v>0</v>
      </c>
      <c r="BY30" s="1008">
        <f t="shared" si="10"/>
        <v>0</v>
      </c>
      <c r="BZ30" s="1008"/>
      <c r="CA30" s="1008"/>
      <c r="CB30" s="1008"/>
      <c r="CC30" s="1008"/>
      <c r="CD30" s="1008">
        <f t="shared" si="24"/>
        <v>0</v>
      </c>
      <c r="CE30" s="1008">
        <f t="shared" si="24"/>
        <v>0</v>
      </c>
      <c r="CF30" s="1008">
        <f t="shared" si="24"/>
        <v>43900</v>
      </c>
      <c r="CG30" s="1008">
        <f t="shared" si="24"/>
        <v>0</v>
      </c>
      <c r="CH30" s="1008">
        <f t="shared" si="24"/>
        <v>0</v>
      </c>
      <c r="CI30" s="1008">
        <f t="shared" si="24"/>
        <v>0</v>
      </c>
      <c r="CJ30" s="1008"/>
      <c r="CK30" s="1008"/>
      <c r="CL30" s="1008">
        <f t="shared" si="12"/>
        <v>0</v>
      </c>
      <c r="CM30" s="1011">
        <f t="shared" si="13"/>
        <v>0.43804999999999999</v>
      </c>
      <c r="CN30" s="1008">
        <f t="shared" si="14"/>
        <v>876100</v>
      </c>
      <c r="CO30" s="1008"/>
      <c r="CP30" s="1008"/>
      <c r="CQ30" s="1008"/>
      <c r="CR30" s="1008"/>
      <c r="CS30" s="1008"/>
      <c r="CT30" s="1008"/>
      <c r="CU30" s="1008"/>
      <c r="CV30" s="1008"/>
      <c r="CW30" s="1008"/>
      <c r="CX30" s="1008"/>
      <c r="CY30" s="1008"/>
      <c r="CZ30" s="1008"/>
      <c r="DA30" s="1008"/>
      <c r="DB30" s="1008">
        <f>+'[10]MARZO 2015'!$H$1089</f>
        <v>876100</v>
      </c>
      <c r="DC30" s="1008"/>
      <c r="DD30" s="1008"/>
      <c r="DE30" s="1008"/>
      <c r="DF30" s="1008"/>
      <c r="DG30" s="1008"/>
      <c r="DH30" s="1008"/>
      <c r="DI30" s="1011">
        <f t="shared" si="15"/>
        <v>0.56194999999999995</v>
      </c>
      <c r="DJ30" s="1008">
        <f t="shared" si="16"/>
        <v>1123900</v>
      </c>
      <c r="DK30" s="1008">
        <f t="shared" si="17"/>
        <v>0</v>
      </c>
      <c r="DL30" s="1008">
        <f t="shared" si="17"/>
        <v>0</v>
      </c>
      <c r="DM30" s="1008"/>
      <c r="DN30" s="1008">
        <f t="shared" si="18"/>
        <v>0</v>
      </c>
      <c r="DO30" s="1008">
        <f t="shared" si="18"/>
        <v>0</v>
      </c>
      <c r="DP30" s="1008">
        <f t="shared" si="18"/>
        <v>0</v>
      </c>
      <c r="DQ30" s="1008">
        <f t="shared" si="18"/>
        <v>0</v>
      </c>
      <c r="DR30" s="1008"/>
      <c r="DS30" s="1008">
        <f t="shared" si="19"/>
        <v>0</v>
      </c>
      <c r="DT30" s="1008">
        <f t="shared" si="19"/>
        <v>0</v>
      </c>
      <c r="DU30" s="1008"/>
      <c r="DV30" s="1008">
        <f t="shared" si="20"/>
        <v>0</v>
      </c>
      <c r="DW30" s="1008">
        <f t="shared" si="20"/>
        <v>0</v>
      </c>
      <c r="DX30" s="1008">
        <f t="shared" si="20"/>
        <v>1123900</v>
      </c>
      <c r="DY30" s="1008">
        <f t="shared" si="21"/>
        <v>0</v>
      </c>
      <c r="DZ30" s="1008">
        <f t="shared" si="21"/>
        <v>0</v>
      </c>
      <c r="EA30" s="1008">
        <f t="shared" si="21"/>
        <v>0</v>
      </c>
      <c r="EB30" s="1008">
        <f t="shared" si="21"/>
        <v>0</v>
      </c>
      <c r="EC30" s="1008"/>
      <c r="ED30" s="1008">
        <f t="shared" si="22"/>
        <v>0</v>
      </c>
    </row>
    <row r="31" spans="1:134" ht="26.25" customHeight="1" x14ac:dyDescent="0.25">
      <c r="A31" s="1562"/>
      <c r="B31" s="1548"/>
      <c r="C31" s="1116" t="s">
        <v>4581</v>
      </c>
      <c r="D31" s="1019" t="s">
        <v>4600</v>
      </c>
      <c r="E31" s="1020">
        <v>510</v>
      </c>
      <c r="F31" s="1120" t="s">
        <v>4660</v>
      </c>
      <c r="G31" s="1400"/>
      <c r="H31" s="1061">
        <f t="shared" si="0"/>
        <v>28219872</v>
      </c>
      <c r="I31" s="1061">
        <f t="shared" si="1"/>
        <v>32780128</v>
      </c>
      <c r="J31" s="1400"/>
      <c r="K31" s="1573"/>
      <c r="L31" s="1573"/>
      <c r="M31" s="1115">
        <v>0</v>
      </c>
      <c r="N31" s="1115">
        <v>0</v>
      </c>
      <c r="O31" s="1115">
        <v>0</v>
      </c>
      <c r="P31" s="1115">
        <v>27</v>
      </c>
      <c r="Q31" s="1115">
        <v>40</v>
      </c>
      <c r="R31" s="1115">
        <v>11</v>
      </c>
      <c r="S31" s="1125"/>
      <c r="T31" s="1125"/>
      <c r="U31" s="1125"/>
      <c r="V31" s="1125"/>
      <c r="W31" s="1125"/>
      <c r="X31" s="1125"/>
      <c r="Y31" s="1008">
        <f t="shared" si="2"/>
        <v>61000000</v>
      </c>
      <c r="Z31" s="1008"/>
      <c r="AA31" s="1008"/>
      <c r="AB31" s="1008"/>
      <c r="AC31" s="1008"/>
      <c r="AD31" s="1008"/>
      <c r="AE31" s="1008"/>
      <c r="AF31" s="1008"/>
      <c r="AG31" s="1008"/>
      <c r="AH31" s="1008"/>
      <c r="AI31" s="1008"/>
      <c r="AJ31" s="1008"/>
      <c r="AK31" s="1008"/>
      <c r="AL31" s="1008"/>
      <c r="AM31" s="1008">
        <v>40000000</v>
      </c>
      <c r="AN31" s="1008"/>
      <c r="AO31" s="1008"/>
      <c r="AP31" s="1008"/>
      <c r="AQ31" s="1008"/>
      <c r="AR31" s="1008"/>
      <c r="AS31" s="1008">
        <v>21000000</v>
      </c>
      <c r="AU31" s="1011">
        <f t="shared" si="3"/>
        <v>0.62474659016393441</v>
      </c>
      <c r="AV31" s="1008">
        <f t="shared" si="4"/>
        <v>38109542</v>
      </c>
      <c r="AW31" s="1008"/>
      <c r="AX31" s="1008"/>
      <c r="AY31" s="1008"/>
      <c r="AZ31" s="1008"/>
      <c r="BA31" s="1008"/>
      <c r="BB31" s="1008"/>
      <c r="BC31" s="1008"/>
      <c r="BD31" s="1008"/>
      <c r="BE31" s="1008"/>
      <c r="BF31" s="1008"/>
      <c r="BG31" s="1008"/>
      <c r="BH31" s="1008"/>
      <c r="BI31" s="1008"/>
      <c r="BJ31" s="1008">
        <f>+'[18]OCTUBRE 2015'!$W$3102</f>
        <v>38109542</v>
      </c>
      <c r="BK31" s="1008"/>
      <c r="BL31" s="1008"/>
      <c r="BM31" s="1008"/>
      <c r="BN31" s="1008"/>
      <c r="BO31" s="1008"/>
      <c r="BP31" s="1008"/>
      <c r="BQ31" s="1011">
        <f t="shared" si="25"/>
        <v>0.37525340983606559</v>
      </c>
      <c r="BR31" s="1008">
        <f t="shared" si="6"/>
        <v>22890458</v>
      </c>
      <c r="BS31" s="1008">
        <f t="shared" si="7"/>
        <v>0</v>
      </c>
      <c r="BT31" s="1008">
        <f t="shared" si="23"/>
        <v>0</v>
      </c>
      <c r="BU31" s="1008"/>
      <c r="BV31" s="1008">
        <f t="shared" si="9"/>
        <v>0</v>
      </c>
      <c r="BW31" s="1008"/>
      <c r="BX31" s="1008">
        <f t="shared" si="10"/>
        <v>0</v>
      </c>
      <c r="BY31" s="1008">
        <f t="shared" si="10"/>
        <v>0</v>
      </c>
      <c r="BZ31" s="1008"/>
      <c r="CA31" s="1008"/>
      <c r="CB31" s="1008"/>
      <c r="CC31" s="1008"/>
      <c r="CD31" s="1008">
        <f t="shared" si="24"/>
        <v>0</v>
      </c>
      <c r="CE31" s="1008">
        <f t="shared" si="24"/>
        <v>0</v>
      </c>
      <c r="CF31" s="1008">
        <f t="shared" si="24"/>
        <v>1890458</v>
      </c>
      <c r="CG31" s="1008">
        <f t="shared" si="24"/>
        <v>0</v>
      </c>
      <c r="CH31" s="1008">
        <f t="shared" si="24"/>
        <v>0</v>
      </c>
      <c r="CI31" s="1008">
        <f t="shared" si="24"/>
        <v>0</v>
      </c>
      <c r="CJ31" s="1008"/>
      <c r="CK31" s="1008"/>
      <c r="CL31" s="1008">
        <f t="shared" si="12"/>
        <v>21000000</v>
      </c>
      <c r="CM31" s="1011">
        <f t="shared" si="13"/>
        <v>0.46262085245901641</v>
      </c>
      <c r="CN31" s="1008">
        <f t="shared" si="14"/>
        <v>28219872</v>
      </c>
      <c r="CO31" s="1008"/>
      <c r="CP31" s="1008"/>
      <c r="CQ31" s="1008"/>
      <c r="CR31" s="1008"/>
      <c r="CS31" s="1008"/>
      <c r="CT31" s="1008"/>
      <c r="CU31" s="1008"/>
      <c r="CV31" s="1008"/>
      <c r="CW31" s="1008"/>
      <c r="CX31" s="1008"/>
      <c r="CY31" s="1008"/>
      <c r="CZ31" s="1008"/>
      <c r="DA31" s="1008"/>
      <c r="DB31" s="1008">
        <f>+'[18]OCTUBRE 2015'!$H$3100</f>
        <v>28219872</v>
      </c>
      <c r="DC31" s="1008"/>
      <c r="DD31" s="1008"/>
      <c r="DE31" s="1008"/>
      <c r="DF31" s="1008"/>
      <c r="DG31" s="1008"/>
      <c r="DH31" s="1008"/>
      <c r="DI31" s="1011">
        <f t="shared" si="15"/>
        <v>0.53737914754098359</v>
      </c>
      <c r="DJ31" s="1008">
        <f t="shared" si="16"/>
        <v>32780128</v>
      </c>
      <c r="DK31" s="1008">
        <f t="shared" si="17"/>
        <v>0</v>
      </c>
      <c r="DL31" s="1008">
        <f t="shared" si="17"/>
        <v>0</v>
      </c>
      <c r="DM31" s="1008"/>
      <c r="DN31" s="1008">
        <f t="shared" si="18"/>
        <v>0</v>
      </c>
      <c r="DO31" s="1008">
        <f t="shared" si="18"/>
        <v>0</v>
      </c>
      <c r="DP31" s="1008">
        <f t="shared" si="18"/>
        <v>0</v>
      </c>
      <c r="DQ31" s="1008">
        <f t="shared" si="18"/>
        <v>0</v>
      </c>
      <c r="DR31" s="1008"/>
      <c r="DS31" s="1008">
        <f t="shared" si="19"/>
        <v>0</v>
      </c>
      <c r="DT31" s="1008">
        <f t="shared" si="19"/>
        <v>0</v>
      </c>
      <c r="DU31" s="1008"/>
      <c r="DV31" s="1008">
        <f t="shared" si="20"/>
        <v>0</v>
      </c>
      <c r="DW31" s="1008">
        <f t="shared" si="20"/>
        <v>0</v>
      </c>
      <c r="DX31" s="1008">
        <f t="shared" si="20"/>
        <v>11780128</v>
      </c>
      <c r="DY31" s="1008">
        <f t="shared" si="21"/>
        <v>0</v>
      </c>
      <c r="DZ31" s="1008">
        <f t="shared" si="21"/>
        <v>0</v>
      </c>
      <c r="EA31" s="1008">
        <f t="shared" si="21"/>
        <v>0</v>
      </c>
      <c r="EB31" s="1008">
        <f t="shared" si="21"/>
        <v>0</v>
      </c>
      <c r="EC31" s="1008"/>
      <c r="ED31" s="1008">
        <f t="shared" si="22"/>
        <v>21000000</v>
      </c>
    </row>
    <row r="32" spans="1:134" ht="39" customHeight="1" x14ac:dyDescent="0.25">
      <c r="A32" s="1562"/>
      <c r="B32" s="1548"/>
      <c r="C32" s="1116" t="s">
        <v>4582</v>
      </c>
      <c r="D32" s="1019" t="s">
        <v>4579</v>
      </c>
      <c r="E32" s="1020">
        <v>510</v>
      </c>
      <c r="F32" s="1120" t="s">
        <v>4660</v>
      </c>
      <c r="G32" s="1400"/>
      <c r="H32" s="1061">
        <f t="shared" si="0"/>
        <v>10640000</v>
      </c>
      <c r="I32" s="1061">
        <f t="shared" si="1"/>
        <v>39360000</v>
      </c>
      <c r="J32" s="1400"/>
      <c r="K32" s="1573"/>
      <c r="L32" s="1573"/>
      <c r="M32" s="1115">
        <v>0</v>
      </c>
      <c r="N32" s="1115">
        <v>0</v>
      </c>
      <c r="O32" s="1115">
        <v>0</v>
      </c>
      <c r="P32" s="1115">
        <v>0</v>
      </c>
      <c r="Q32" s="1115">
        <v>40</v>
      </c>
      <c r="R32" s="1115">
        <v>0</v>
      </c>
      <c r="S32" s="1125"/>
      <c r="T32" s="1125"/>
      <c r="U32" s="1125"/>
      <c r="V32" s="1125"/>
      <c r="W32" s="1125"/>
      <c r="X32" s="1125"/>
      <c r="Y32" s="1008">
        <f t="shared" si="2"/>
        <v>50000000</v>
      </c>
      <c r="Z32" s="1008"/>
      <c r="AA32" s="1008"/>
      <c r="AB32" s="1008"/>
      <c r="AC32" s="1008"/>
      <c r="AD32" s="1008"/>
      <c r="AE32" s="1008"/>
      <c r="AF32" s="1008"/>
      <c r="AG32" s="1008"/>
      <c r="AH32" s="1008"/>
      <c r="AI32" s="1008"/>
      <c r="AJ32" s="1008"/>
      <c r="AK32" s="1008"/>
      <c r="AL32" s="1008"/>
      <c r="AM32" s="1008">
        <v>40000000</v>
      </c>
      <c r="AN32" s="1008">
        <v>10000000</v>
      </c>
      <c r="AO32" s="1008"/>
      <c r="AP32" s="1008"/>
      <c r="AQ32" s="1008"/>
      <c r="AR32" s="1008"/>
      <c r="AS32" s="1008"/>
      <c r="AU32" s="1011">
        <f t="shared" si="3"/>
        <v>0.95281987999999995</v>
      </c>
      <c r="AV32" s="1008">
        <f t="shared" si="4"/>
        <v>47640994</v>
      </c>
      <c r="AW32" s="1008"/>
      <c r="AX32" s="1008"/>
      <c r="AY32" s="1008"/>
      <c r="AZ32" s="1008"/>
      <c r="BA32" s="1008"/>
      <c r="BB32" s="1008"/>
      <c r="BC32" s="1008"/>
      <c r="BD32" s="1008"/>
      <c r="BE32" s="1008"/>
      <c r="BF32" s="1008"/>
      <c r="BG32" s="1008"/>
      <c r="BH32" s="1008"/>
      <c r="BI32" s="1008"/>
      <c r="BJ32" s="1008">
        <f>+'[14]JUNIO 2015'!$W$1673</f>
        <v>40000000</v>
      </c>
      <c r="BK32" s="1008">
        <f>+'[14]JUNIO 2015'!$X$1673</f>
        <v>7640994</v>
      </c>
      <c r="BL32" s="1008"/>
      <c r="BM32" s="1008"/>
      <c r="BN32" s="1008"/>
      <c r="BO32" s="1008"/>
      <c r="BP32" s="1008"/>
      <c r="BQ32" s="1011">
        <f t="shared" si="25"/>
        <v>4.7180120000000048E-2</v>
      </c>
      <c r="BR32" s="1008">
        <f t="shared" si="6"/>
        <v>2359006</v>
      </c>
      <c r="BS32" s="1008">
        <f t="shared" si="7"/>
        <v>0</v>
      </c>
      <c r="BT32" s="1008">
        <f t="shared" si="23"/>
        <v>0</v>
      </c>
      <c r="BU32" s="1008"/>
      <c r="BV32" s="1008">
        <f t="shared" si="9"/>
        <v>0</v>
      </c>
      <c r="BW32" s="1008"/>
      <c r="BX32" s="1008">
        <f t="shared" si="10"/>
        <v>0</v>
      </c>
      <c r="BY32" s="1008">
        <f t="shared" si="10"/>
        <v>0</v>
      </c>
      <c r="BZ32" s="1008"/>
      <c r="CA32" s="1008"/>
      <c r="CB32" s="1008"/>
      <c r="CC32" s="1008"/>
      <c r="CD32" s="1008">
        <f t="shared" si="24"/>
        <v>0</v>
      </c>
      <c r="CE32" s="1008">
        <f t="shared" si="24"/>
        <v>0</v>
      </c>
      <c r="CF32" s="1008">
        <f t="shared" si="24"/>
        <v>0</v>
      </c>
      <c r="CG32" s="1008">
        <f t="shared" si="24"/>
        <v>2359006</v>
      </c>
      <c r="CH32" s="1008">
        <f t="shared" si="24"/>
        <v>0</v>
      </c>
      <c r="CI32" s="1008">
        <f t="shared" si="24"/>
        <v>0</v>
      </c>
      <c r="CJ32" s="1008"/>
      <c r="CK32" s="1008"/>
      <c r="CL32" s="1008">
        <f t="shared" si="12"/>
        <v>0</v>
      </c>
      <c r="CM32" s="1011">
        <f t="shared" si="13"/>
        <v>0.21279999999999999</v>
      </c>
      <c r="CN32" s="1008">
        <f t="shared" si="14"/>
        <v>10640000</v>
      </c>
      <c r="CO32" s="1008"/>
      <c r="CP32" s="1008"/>
      <c r="CQ32" s="1008"/>
      <c r="CR32" s="1008"/>
      <c r="CS32" s="1008"/>
      <c r="CT32" s="1008"/>
      <c r="CU32" s="1008"/>
      <c r="CV32" s="1008"/>
      <c r="CW32" s="1008"/>
      <c r="CX32" s="1008"/>
      <c r="CY32" s="1008"/>
      <c r="CZ32" s="1008"/>
      <c r="DA32" s="1008"/>
      <c r="DB32" s="1008">
        <f>+'[15]JULIO 2015'!$W$1957</f>
        <v>3000000</v>
      </c>
      <c r="DC32" s="1008">
        <f>+'[15]JULIO 2015'!$H$1958-DB32</f>
        <v>7640000</v>
      </c>
      <c r="DD32" s="1008"/>
      <c r="DE32" s="1008"/>
      <c r="DF32" s="1008"/>
      <c r="DG32" s="1008"/>
      <c r="DH32" s="1008"/>
      <c r="DI32" s="1011">
        <f t="shared" si="15"/>
        <v>0.78720000000000001</v>
      </c>
      <c r="DJ32" s="1008">
        <f t="shared" si="16"/>
        <v>39360000</v>
      </c>
      <c r="DK32" s="1008">
        <f t="shared" si="17"/>
        <v>0</v>
      </c>
      <c r="DL32" s="1008">
        <f t="shared" si="17"/>
        <v>0</v>
      </c>
      <c r="DM32" s="1008"/>
      <c r="DN32" s="1008">
        <f t="shared" si="18"/>
        <v>0</v>
      </c>
      <c r="DO32" s="1008">
        <f t="shared" si="18"/>
        <v>0</v>
      </c>
      <c r="DP32" s="1008">
        <f t="shared" si="18"/>
        <v>0</v>
      </c>
      <c r="DQ32" s="1008">
        <f t="shared" si="18"/>
        <v>0</v>
      </c>
      <c r="DR32" s="1008"/>
      <c r="DS32" s="1008">
        <f t="shared" si="19"/>
        <v>0</v>
      </c>
      <c r="DT32" s="1008">
        <f t="shared" si="19"/>
        <v>0</v>
      </c>
      <c r="DU32" s="1008"/>
      <c r="DV32" s="1008">
        <f t="shared" si="20"/>
        <v>0</v>
      </c>
      <c r="DW32" s="1008">
        <f t="shared" si="20"/>
        <v>0</v>
      </c>
      <c r="DX32" s="1008">
        <f t="shared" si="20"/>
        <v>37000000</v>
      </c>
      <c r="DY32" s="1008">
        <f t="shared" si="21"/>
        <v>2360000</v>
      </c>
      <c r="DZ32" s="1008">
        <f t="shared" si="21"/>
        <v>0</v>
      </c>
      <c r="EA32" s="1008">
        <f t="shared" si="21"/>
        <v>0</v>
      </c>
      <c r="EB32" s="1008">
        <f t="shared" si="21"/>
        <v>0</v>
      </c>
      <c r="EC32" s="1008"/>
      <c r="ED32" s="1008">
        <f t="shared" si="22"/>
        <v>0</v>
      </c>
    </row>
    <row r="33" spans="1:134" ht="31.5" customHeight="1" x14ac:dyDescent="0.25">
      <c r="A33" s="1562"/>
      <c r="B33" s="1549"/>
      <c r="C33" s="1116" t="s">
        <v>4583</v>
      </c>
      <c r="D33" s="1019" t="s">
        <v>4580</v>
      </c>
      <c r="E33" s="1020">
        <v>510</v>
      </c>
      <c r="F33" s="1120" t="s">
        <v>4729</v>
      </c>
      <c r="G33" s="1401"/>
      <c r="H33" s="1061">
        <f t="shared" si="0"/>
        <v>5310036</v>
      </c>
      <c r="I33" s="1061">
        <f t="shared" si="1"/>
        <v>7689964</v>
      </c>
      <c r="J33" s="1401"/>
      <c r="K33" s="1284"/>
      <c r="L33" s="1284"/>
      <c r="M33" s="1115">
        <v>0</v>
      </c>
      <c r="N33" s="1115">
        <v>0</v>
      </c>
      <c r="O33" s="1115">
        <v>0</v>
      </c>
      <c r="P33" s="1115">
        <v>7</v>
      </c>
      <c r="Q33" s="1115">
        <v>50</v>
      </c>
      <c r="R33" s="1115">
        <v>4</v>
      </c>
      <c r="S33" s="1126"/>
      <c r="T33" s="1126"/>
      <c r="U33" s="1126"/>
      <c r="V33" s="1126"/>
      <c r="W33" s="1126"/>
      <c r="X33" s="1126"/>
      <c r="Y33" s="1008">
        <f t="shared" si="2"/>
        <v>13000000</v>
      </c>
      <c r="Z33" s="1008"/>
      <c r="AA33" s="1008"/>
      <c r="AB33" s="1008"/>
      <c r="AC33" s="1008"/>
      <c r="AD33" s="1008"/>
      <c r="AE33" s="1008"/>
      <c r="AF33" s="1008"/>
      <c r="AG33" s="1008"/>
      <c r="AH33" s="1008"/>
      <c r="AI33" s="1008"/>
      <c r="AJ33" s="1008"/>
      <c r="AK33" s="1008"/>
      <c r="AL33" s="1008"/>
      <c r="AM33" s="1008">
        <v>8000000</v>
      </c>
      <c r="AN33" s="1008"/>
      <c r="AO33" s="1008"/>
      <c r="AP33" s="1008"/>
      <c r="AQ33" s="1008"/>
      <c r="AR33" s="1008"/>
      <c r="AS33" s="1008">
        <v>5000000</v>
      </c>
      <c r="AU33" s="1011">
        <f t="shared" si="3"/>
        <v>0.94291599999999998</v>
      </c>
      <c r="AV33" s="1008">
        <f t="shared" si="4"/>
        <v>12257908</v>
      </c>
      <c r="AW33" s="1008"/>
      <c r="AX33" s="1008"/>
      <c r="AY33" s="1008"/>
      <c r="AZ33" s="1008"/>
      <c r="BA33" s="1008"/>
      <c r="BB33" s="1008"/>
      <c r="BC33" s="1008"/>
      <c r="BD33" s="1008"/>
      <c r="BE33" s="1008"/>
      <c r="BF33" s="1008"/>
      <c r="BG33" s="1008"/>
      <c r="BH33" s="1008"/>
      <c r="BI33" s="1008"/>
      <c r="BJ33" s="1008">
        <f>+'[18]OCTUBRE 2015'!$W$3139</f>
        <v>7257908</v>
      </c>
      <c r="BK33" s="1008"/>
      <c r="BL33" s="1008"/>
      <c r="BM33" s="1008"/>
      <c r="BN33" s="1008"/>
      <c r="BO33" s="1008"/>
      <c r="BP33" s="1008">
        <f>+'[15]JULIO 2015'!$AD$1962</f>
        <v>5000000</v>
      </c>
      <c r="BQ33" s="1011">
        <f t="shared" si="25"/>
        <v>5.7084000000000024E-2</v>
      </c>
      <c r="BR33" s="1008">
        <f t="shared" si="6"/>
        <v>742092</v>
      </c>
      <c r="BS33" s="1008">
        <f t="shared" si="7"/>
        <v>0</v>
      </c>
      <c r="BT33" s="1008">
        <f t="shared" si="23"/>
        <v>0</v>
      </c>
      <c r="BU33" s="1008"/>
      <c r="BV33" s="1008">
        <f t="shared" si="9"/>
        <v>0</v>
      </c>
      <c r="BW33" s="1008"/>
      <c r="BX33" s="1008">
        <f t="shared" si="10"/>
        <v>0</v>
      </c>
      <c r="BY33" s="1008">
        <f t="shared" si="10"/>
        <v>0</v>
      </c>
      <c r="BZ33" s="1008"/>
      <c r="CA33" s="1008"/>
      <c r="CB33" s="1008"/>
      <c r="CC33" s="1008"/>
      <c r="CD33" s="1008">
        <f t="shared" si="24"/>
        <v>0</v>
      </c>
      <c r="CE33" s="1008">
        <f t="shared" si="24"/>
        <v>0</v>
      </c>
      <c r="CF33" s="1008">
        <f t="shared" si="24"/>
        <v>742092</v>
      </c>
      <c r="CG33" s="1008">
        <f t="shared" si="24"/>
        <v>0</v>
      </c>
      <c r="CH33" s="1008">
        <f t="shared" si="24"/>
        <v>0</v>
      </c>
      <c r="CI33" s="1008">
        <f t="shared" si="24"/>
        <v>0</v>
      </c>
      <c r="CJ33" s="1008"/>
      <c r="CK33" s="1008"/>
      <c r="CL33" s="1008">
        <f t="shared" si="12"/>
        <v>0</v>
      </c>
      <c r="CM33" s="1011">
        <f t="shared" si="13"/>
        <v>0.40846430769230768</v>
      </c>
      <c r="CN33" s="1008">
        <f t="shared" si="14"/>
        <v>5310036</v>
      </c>
      <c r="CO33" s="1008"/>
      <c r="CP33" s="1008"/>
      <c r="CQ33" s="1008"/>
      <c r="CR33" s="1008"/>
      <c r="CS33" s="1008"/>
      <c r="CT33" s="1008"/>
      <c r="CU33" s="1008"/>
      <c r="CV33" s="1008"/>
      <c r="CW33" s="1008"/>
      <c r="CX33" s="1008"/>
      <c r="CY33" s="1008"/>
      <c r="CZ33" s="1008"/>
      <c r="DA33" s="1008"/>
      <c r="DB33" s="1008">
        <f>+'[18]OCTUBRE 2015'!$H$3137</f>
        <v>5310036</v>
      </c>
      <c r="DC33" s="1008"/>
      <c r="DD33" s="1008"/>
      <c r="DE33" s="1008"/>
      <c r="DF33" s="1008"/>
      <c r="DG33" s="1008"/>
      <c r="DH33" s="1008"/>
      <c r="DI33" s="1011">
        <f t="shared" si="15"/>
        <v>0.59153569230769232</v>
      </c>
      <c r="DJ33" s="1008">
        <f t="shared" si="16"/>
        <v>7689964</v>
      </c>
      <c r="DK33" s="1008">
        <f t="shared" si="17"/>
        <v>0</v>
      </c>
      <c r="DL33" s="1008">
        <f t="shared" si="17"/>
        <v>0</v>
      </c>
      <c r="DM33" s="1008"/>
      <c r="DN33" s="1008">
        <f>AC33-CR33</f>
        <v>0</v>
      </c>
      <c r="DO33" s="1008"/>
      <c r="DP33" s="1008">
        <f>AE33-CT33</f>
        <v>0</v>
      </c>
      <c r="DQ33" s="1008">
        <f>AF33-CU33</f>
        <v>0</v>
      </c>
      <c r="DR33" s="1008"/>
      <c r="DS33" s="1008">
        <f t="shared" si="19"/>
        <v>0</v>
      </c>
      <c r="DT33" s="1008">
        <f t="shared" si="19"/>
        <v>0</v>
      </c>
      <c r="DU33" s="1008"/>
      <c r="DV33" s="1008">
        <f t="shared" si="20"/>
        <v>0</v>
      </c>
      <c r="DW33" s="1008">
        <f t="shared" si="20"/>
        <v>0</v>
      </c>
      <c r="DX33" s="1008">
        <f t="shared" si="20"/>
        <v>2689964</v>
      </c>
      <c r="DY33" s="1008">
        <f t="shared" si="21"/>
        <v>0</v>
      </c>
      <c r="DZ33" s="1008">
        <f t="shared" si="21"/>
        <v>0</v>
      </c>
      <c r="EA33" s="1008">
        <f t="shared" si="21"/>
        <v>0</v>
      </c>
      <c r="EB33" s="1008">
        <f t="shared" si="21"/>
        <v>0</v>
      </c>
      <c r="EC33" s="1008"/>
      <c r="ED33" s="1008">
        <f t="shared" si="22"/>
        <v>5000000</v>
      </c>
    </row>
    <row r="34" spans="1:134" s="948" customFormat="1" ht="28.5" customHeight="1" thickBot="1" x14ac:dyDescent="0.3">
      <c r="A34" s="1058"/>
      <c r="B34" s="1550" t="s">
        <v>4339</v>
      </c>
      <c r="C34" s="1551"/>
      <c r="D34" s="1551"/>
      <c r="E34" s="1552"/>
      <c r="F34" s="1051"/>
      <c r="G34" s="1035">
        <f>SUM(G4:G33)</f>
        <v>1741000000</v>
      </c>
      <c r="H34" s="1035">
        <f>SUM(H4:H33)</f>
        <v>1122567751</v>
      </c>
      <c r="I34" s="1035">
        <f>SUM(I4:I33)</f>
        <v>754541012</v>
      </c>
      <c r="J34" s="1055"/>
      <c r="K34" s="1079"/>
      <c r="L34" s="1079"/>
      <c r="M34" s="1074"/>
      <c r="N34" s="1074"/>
      <c r="O34" s="1074"/>
      <c r="P34" s="1079"/>
      <c r="Q34" s="1079"/>
      <c r="R34" s="1079"/>
      <c r="S34" s="1055"/>
      <c r="T34" s="1055"/>
      <c r="U34" s="1055"/>
      <c r="V34" s="1055"/>
      <c r="W34" s="1055"/>
      <c r="X34" s="1055"/>
      <c r="Y34" s="1035">
        <f t="shared" ref="Y34:AS34" si="26">SUM(Y4:Y33)</f>
        <v>1877108763</v>
      </c>
      <c r="Z34" s="1035">
        <f t="shared" si="26"/>
        <v>0</v>
      </c>
      <c r="AA34" s="1035">
        <f t="shared" si="26"/>
        <v>0</v>
      </c>
      <c r="AB34" s="1035">
        <f t="shared" si="26"/>
        <v>0</v>
      </c>
      <c r="AC34" s="1035">
        <f t="shared" si="26"/>
        <v>0</v>
      </c>
      <c r="AD34" s="1035">
        <f t="shared" si="26"/>
        <v>0</v>
      </c>
      <c r="AE34" s="1035">
        <f t="shared" si="26"/>
        <v>680000000</v>
      </c>
      <c r="AF34" s="1035">
        <f t="shared" si="26"/>
        <v>321985144</v>
      </c>
      <c r="AG34" s="1035">
        <f t="shared" si="26"/>
        <v>0</v>
      </c>
      <c r="AH34" s="1035">
        <f t="shared" si="26"/>
        <v>0</v>
      </c>
      <c r="AI34" s="1035">
        <f t="shared" si="26"/>
        <v>0</v>
      </c>
      <c r="AJ34" s="1035">
        <f t="shared" si="26"/>
        <v>0</v>
      </c>
      <c r="AK34" s="1035">
        <f t="shared" si="26"/>
        <v>0</v>
      </c>
      <c r="AL34" s="1035">
        <f t="shared" si="26"/>
        <v>0</v>
      </c>
      <c r="AM34" s="1035">
        <f t="shared" si="26"/>
        <v>270000000</v>
      </c>
      <c r="AN34" s="1035">
        <f t="shared" si="26"/>
        <v>186000000</v>
      </c>
      <c r="AO34" s="1035">
        <f t="shared" si="26"/>
        <v>220000000</v>
      </c>
      <c r="AP34" s="1035">
        <f t="shared" si="26"/>
        <v>0</v>
      </c>
      <c r="AQ34" s="1035">
        <f t="shared" si="26"/>
        <v>0</v>
      </c>
      <c r="AR34" s="1035">
        <f t="shared" si="26"/>
        <v>0</v>
      </c>
      <c r="AS34" s="1035">
        <f t="shared" si="26"/>
        <v>199123619</v>
      </c>
      <c r="AT34"/>
      <c r="AU34" s="1012">
        <f t="shared" si="3"/>
        <v>0.69953428638913662</v>
      </c>
      <c r="AV34" s="1035">
        <f>SUM(AV4:AV33)</f>
        <v>1313101939</v>
      </c>
      <c r="AW34" s="1035">
        <f>SUM(AW4:AW33)</f>
        <v>0</v>
      </c>
      <c r="AX34" s="1035">
        <f>SUM(AX4:AX33)</f>
        <v>0</v>
      </c>
      <c r="AY34" s="1035"/>
      <c r="AZ34" s="1035">
        <f t="shared" ref="AZ34:BP34" si="27">SUM(AZ4:AZ33)</f>
        <v>0</v>
      </c>
      <c r="BA34" s="1035">
        <f t="shared" si="27"/>
        <v>0</v>
      </c>
      <c r="BB34" s="1035">
        <f t="shared" si="27"/>
        <v>471107218</v>
      </c>
      <c r="BC34" s="1035">
        <f t="shared" si="27"/>
        <v>264170675</v>
      </c>
      <c r="BD34" s="1035">
        <f t="shared" si="27"/>
        <v>0</v>
      </c>
      <c r="BE34" s="1035">
        <f t="shared" si="27"/>
        <v>0</v>
      </c>
      <c r="BF34" s="1035">
        <f t="shared" si="27"/>
        <v>0</v>
      </c>
      <c r="BG34" s="1035">
        <f t="shared" si="27"/>
        <v>0</v>
      </c>
      <c r="BH34" s="1035">
        <f t="shared" si="27"/>
        <v>0</v>
      </c>
      <c r="BI34" s="1035">
        <f t="shared" si="27"/>
        <v>0</v>
      </c>
      <c r="BJ34" s="1035">
        <f t="shared" si="27"/>
        <v>152146280</v>
      </c>
      <c r="BK34" s="1035">
        <f t="shared" si="27"/>
        <v>37472943</v>
      </c>
      <c r="BL34" s="1035">
        <f t="shared" si="27"/>
        <v>220000000</v>
      </c>
      <c r="BM34" s="1035">
        <f t="shared" si="27"/>
        <v>0</v>
      </c>
      <c r="BN34" s="1035">
        <f t="shared" si="27"/>
        <v>0</v>
      </c>
      <c r="BO34" s="1035">
        <f t="shared" si="27"/>
        <v>0</v>
      </c>
      <c r="BP34" s="1035">
        <f t="shared" si="27"/>
        <v>168204823</v>
      </c>
      <c r="BQ34" s="1012">
        <f t="shared" si="25"/>
        <v>0.30046571361086338</v>
      </c>
      <c r="BR34" s="1035">
        <f t="shared" ref="BR34:CL34" si="28">SUM(BR4:BR33)</f>
        <v>564006824</v>
      </c>
      <c r="BS34" s="1035">
        <f t="shared" si="28"/>
        <v>0</v>
      </c>
      <c r="BT34" s="1035">
        <f t="shared" si="28"/>
        <v>0</v>
      </c>
      <c r="BU34" s="1035">
        <f t="shared" si="28"/>
        <v>0</v>
      </c>
      <c r="BV34" s="1035">
        <f t="shared" si="28"/>
        <v>0</v>
      </c>
      <c r="BW34" s="1035">
        <f t="shared" si="28"/>
        <v>0</v>
      </c>
      <c r="BX34" s="1035">
        <f t="shared" si="28"/>
        <v>208892782</v>
      </c>
      <c r="BY34" s="1035">
        <f t="shared" si="28"/>
        <v>57814469</v>
      </c>
      <c r="BZ34" s="1035">
        <f t="shared" si="28"/>
        <v>0</v>
      </c>
      <c r="CA34" s="1035">
        <f t="shared" si="28"/>
        <v>0</v>
      </c>
      <c r="CB34" s="1035">
        <f t="shared" si="28"/>
        <v>0</v>
      </c>
      <c r="CC34" s="1035">
        <f t="shared" si="28"/>
        <v>0</v>
      </c>
      <c r="CD34" s="1035">
        <f t="shared" si="28"/>
        <v>0</v>
      </c>
      <c r="CE34" s="1035">
        <f t="shared" si="28"/>
        <v>0</v>
      </c>
      <c r="CF34" s="1035">
        <f t="shared" si="28"/>
        <v>117853720</v>
      </c>
      <c r="CG34" s="1035">
        <f t="shared" si="28"/>
        <v>148527057</v>
      </c>
      <c r="CH34" s="1035">
        <f t="shared" si="28"/>
        <v>0</v>
      </c>
      <c r="CI34" s="1035">
        <f t="shared" si="28"/>
        <v>0</v>
      </c>
      <c r="CJ34" s="1035">
        <f t="shared" si="28"/>
        <v>0</v>
      </c>
      <c r="CK34" s="1035">
        <f t="shared" si="28"/>
        <v>0</v>
      </c>
      <c r="CL34" s="1035">
        <f t="shared" si="28"/>
        <v>30918796</v>
      </c>
      <c r="CM34" s="1012">
        <f t="shared" si="13"/>
        <v>0.59803021174218451</v>
      </c>
      <c r="CN34" s="1035">
        <f>SUM(CN4:CN33)</f>
        <v>1122567751</v>
      </c>
      <c r="CO34" s="1035">
        <f>SUM(CO4:CO33)</f>
        <v>0</v>
      </c>
      <c r="CP34" s="1035">
        <f>SUM(CP4:CP33)</f>
        <v>0</v>
      </c>
      <c r="CQ34" s="1035"/>
      <c r="CR34" s="1035">
        <f t="shared" ref="CR34:DH34" si="29">SUM(CR4:CR33)</f>
        <v>0</v>
      </c>
      <c r="CS34" s="1035">
        <f t="shared" si="29"/>
        <v>0</v>
      </c>
      <c r="CT34" s="1035">
        <f t="shared" si="29"/>
        <v>460678681</v>
      </c>
      <c r="CU34" s="1035">
        <f t="shared" si="29"/>
        <v>256875776</v>
      </c>
      <c r="CV34" s="1035">
        <f t="shared" si="29"/>
        <v>0</v>
      </c>
      <c r="CW34" s="1035">
        <f t="shared" si="29"/>
        <v>0</v>
      </c>
      <c r="CX34" s="1035">
        <f t="shared" si="29"/>
        <v>0</v>
      </c>
      <c r="CY34" s="1035">
        <f t="shared" si="29"/>
        <v>0</v>
      </c>
      <c r="CZ34" s="1035">
        <f t="shared" si="29"/>
        <v>0</v>
      </c>
      <c r="DA34" s="1035">
        <f t="shared" si="29"/>
        <v>0</v>
      </c>
      <c r="DB34" s="1035">
        <f t="shared" si="29"/>
        <v>88455538</v>
      </c>
      <c r="DC34" s="1035">
        <f t="shared" si="29"/>
        <v>10181949</v>
      </c>
      <c r="DD34" s="1035">
        <f t="shared" si="29"/>
        <v>182260775</v>
      </c>
      <c r="DE34" s="1035">
        <f t="shared" si="29"/>
        <v>0</v>
      </c>
      <c r="DF34" s="1035">
        <f t="shared" si="29"/>
        <v>0</v>
      </c>
      <c r="DG34" s="1035">
        <f t="shared" si="29"/>
        <v>0</v>
      </c>
      <c r="DH34" s="1035">
        <f t="shared" si="29"/>
        <v>124115032</v>
      </c>
      <c r="DI34" s="1012">
        <f t="shared" si="15"/>
        <v>0.40196978825781549</v>
      </c>
      <c r="DJ34" s="1035">
        <f>SUM(DJ4:DJ33)</f>
        <v>754541012</v>
      </c>
      <c r="DK34" s="1035">
        <f>SUM(DK4:DK33)</f>
        <v>0</v>
      </c>
      <c r="DL34" s="1035">
        <f>SUM(DL4:DL33)</f>
        <v>0</v>
      </c>
      <c r="DM34" s="1035"/>
      <c r="DN34" s="1035">
        <f t="shared" ref="DN34:ED34" si="30">SUM(DN4:DN33)</f>
        <v>0</v>
      </c>
      <c r="DO34" s="1035">
        <f t="shared" si="30"/>
        <v>0</v>
      </c>
      <c r="DP34" s="1035">
        <f t="shared" si="30"/>
        <v>219321319</v>
      </c>
      <c r="DQ34" s="1035">
        <f t="shared" si="30"/>
        <v>65109368</v>
      </c>
      <c r="DR34" s="1035">
        <f t="shared" si="30"/>
        <v>0</v>
      </c>
      <c r="DS34" s="1035">
        <f t="shared" si="30"/>
        <v>0</v>
      </c>
      <c r="DT34" s="1035">
        <f t="shared" si="30"/>
        <v>0</v>
      </c>
      <c r="DU34" s="1035">
        <f t="shared" si="30"/>
        <v>0</v>
      </c>
      <c r="DV34" s="1035">
        <f t="shared" si="30"/>
        <v>0</v>
      </c>
      <c r="DW34" s="1035">
        <f t="shared" si="30"/>
        <v>0</v>
      </c>
      <c r="DX34" s="1035">
        <f t="shared" si="30"/>
        <v>181544462</v>
      </c>
      <c r="DY34" s="1035">
        <f t="shared" si="30"/>
        <v>175818051</v>
      </c>
      <c r="DZ34" s="1035">
        <f t="shared" si="30"/>
        <v>37739225</v>
      </c>
      <c r="EA34" s="1035">
        <f t="shared" si="30"/>
        <v>0</v>
      </c>
      <c r="EB34" s="1035">
        <f t="shared" si="30"/>
        <v>0</v>
      </c>
      <c r="EC34" s="1035">
        <f t="shared" si="30"/>
        <v>0</v>
      </c>
      <c r="ED34" s="1043">
        <f t="shared" si="30"/>
        <v>75008587</v>
      </c>
    </row>
    <row r="35" spans="1:134" ht="49.5" customHeight="1" thickTop="1" x14ac:dyDescent="0.25">
      <c r="A35" s="1561" t="s">
        <v>4755</v>
      </c>
      <c r="B35" s="1027" t="s">
        <v>4306</v>
      </c>
      <c r="C35" s="1116" t="s">
        <v>4367</v>
      </c>
      <c r="D35" s="1019" t="s">
        <v>4601</v>
      </c>
      <c r="E35" s="1020">
        <v>410</v>
      </c>
      <c r="F35" s="1120" t="s">
        <v>3350</v>
      </c>
      <c r="G35" s="1563">
        <v>1000000000</v>
      </c>
      <c r="H35" s="1061">
        <f t="shared" ref="H35:H66" si="31">+CN35</f>
        <v>614924441</v>
      </c>
      <c r="I35" s="1061">
        <f t="shared" ref="I35:I66" si="32">Y35-H35</f>
        <v>8896440</v>
      </c>
      <c r="J35" s="1124" t="s">
        <v>4779</v>
      </c>
      <c r="K35" s="1118" t="s">
        <v>4780</v>
      </c>
      <c r="L35" s="1118" t="s">
        <v>4781</v>
      </c>
      <c r="M35" s="1115">
        <v>24</v>
      </c>
      <c r="N35" s="1115">
        <v>67</v>
      </c>
      <c r="O35" s="1115">
        <v>16</v>
      </c>
      <c r="P35" s="1118">
        <v>97</v>
      </c>
      <c r="Q35" s="1118">
        <v>200</v>
      </c>
      <c r="R35" s="1118">
        <v>195</v>
      </c>
      <c r="S35" s="1124"/>
      <c r="T35" s="1124"/>
      <c r="U35" s="1124"/>
      <c r="V35" s="1124"/>
      <c r="W35" s="1124"/>
      <c r="X35" s="1124"/>
      <c r="Y35" s="1008">
        <f t="shared" ref="Y35:Y66" si="33">SUM(Z35:AS35)</f>
        <v>623820881</v>
      </c>
      <c r="Z35" s="991"/>
      <c r="AA35" s="1017">
        <f>100000000+180000000-280000000</f>
        <v>0</v>
      </c>
      <c r="AB35" s="1017">
        <v>280000000</v>
      </c>
      <c r="AC35" s="1008">
        <f>300000000+220000000-216179119</f>
        <v>303820881</v>
      </c>
      <c r="AD35" s="991"/>
      <c r="AE35" s="1008">
        <f>20000000+20000000</f>
        <v>40000000</v>
      </c>
      <c r="AF35" s="1017">
        <f>400000000-180000000-220000000</f>
        <v>0</v>
      </c>
      <c r="AG35" s="991"/>
      <c r="AH35" s="991"/>
      <c r="AI35" s="991"/>
      <c r="AJ35" s="991"/>
      <c r="AK35" s="875"/>
      <c r="AL35" s="991"/>
      <c r="AM35" s="991"/>
      <c r="AN35" s="991"/>
      <c r="AO35" s="991"/>
      <c r="AP35" s="991"/>
      <c r="AQ35" s="991"/>
      <c r="AR35" s="991"/>
      <c r="AS35" s="991"/>
      <c r="AU35" s="1619">
        <f t="shared" si="3"/>
        <v>0.9857387909398948</v>
      </c>
      <c r="AV35" s="1008">
        <f t="shared" ref="AV35:AV66" si="34">SUM(AW35:BP35)</f>
        <v>614924441</v>
      </c>
      <c r="AW35" s="1008"/>
      <c r="AX35" s="1008"/>
      <c r="AY35" s="1008">
        <v>280000000</v>
      </c>
      <c r="AZ35" s="1008">
        <f>+'[14]JUNIO 2015'!$M$866</f>
        <v>303820881</v>
      </c>
      <c r="BA35" s="1008"/>
      <c r="BB35" s="1008">
        <f>+'[18]OCTUBRE 2015'!$O$1497</f>
        <v>31103560</v>
      </c>
      <c r="BC35" s="1008"/>
      <c r="BD35" s="1008"/>
      <c r="BE35" s="1008"/>
      <c r="BF35" s="1008"/>
      <c r="BG35" s="1008"/>
      <c r="BH35" s="1008"/>
      <c r="BI35" s="1008"/>
      <c r="BJ35" s="1008"/>
      <c r="BK35" s="1008"/>
      <c r="BL35" s="1008"/>
      <c r="BM35" s="1008"/>
      <c r="BN35" s="1008"/>
      <c r="BO35" s="1008"/>
      <c r="BP35" s="1008"/>
      <c r="BQ35" s="1011">
        <f t="shared" si="25"/>
        <v>1.4261209060105196E-2</v>
      </c>
      <c r="BR35" s="1008">
        <f t="shared" ref="BR35:BR66" si="35">SUM(BS35:CL35)</f>
        <v>8896440</v>
      </c>
      <c r="BS35" s="1008">
        <f t="shared" ref="BS35:BS58" si="36">+Z35-AW35</f>
        <v>0</v>
      </c>
      <c r="BT35" s="1008">
        <f t="shared" ref="BT35:BV50" si="37">AA35-AX35</f>
        <v>0</v>
      </c>
      <c r="BU35" s="1008">
        <f t="shared" si="37"/>
        <v>0</v>
      </c>
      <c r="BV35" s="1008">
        <f t="shared" si="37"/>
        <v>0</v>
      </c>
      <c r="BW35" s="1008"/>
      <c r="BX35" s="1008">
        <f t="shared" ref="BX35:BY58" si="38">+AE35-BB35</f>
        <v>8896440</v>
      </c>
      <c r="BY35" s="1008">
        <f t="shared" si="38"/>
        <v>0</v>
      </c>
      <c r="BZ35" s="1008"/>
      <c r="CA35" s="1008"/>
      <c r="CB35" s="1008">
        <f t="shared" ref="CB35:CB42" si="39">+AI35-BF35</f>
        <v>0</v>
      </c>
      <c r="CC35" s="1008"/>
      <c r="CD35" s="1008">
        <f t="shared" ref="CD35:CI54" si="40">+AK35-BH35</f>
        <v>0</v>
      </c>
      <c r="CE35" s="1008">
        <f t="shared" si="40"/>
        <v>0</v>
      </c>
      <c r="CF35" s="1008">
        <f t="shared" si="40"/>
        <v>0</v>
      </c>
      <c r="CG35" s="1008">
        <f t="shared" si="40"/>
        <v>0</v>
      </c>
      <c r="CH35" s="1008">
        <f t="shared" si="40"/>
        <v>0</v>
      </c>
      <c r="CI35" s="1008">
        <f t="shared" si="40"/>
        <v>0</v>
      </c>
      <c r="CJ35" s="1008"/>
      <c r="CK35" s="1008"/>
      <c r="CL35" s="1008">
        <f t="shared" ref="CL35:CL66" si="41">+AS35-BP35</f>
        <v>0</v>
      </c>
      <c r="CM35" s="1011">
        <f t="shared" si="13"/>
        <v>0.9857387909398948</v>
      </c>
      <c r="CN35" s="1008">
        <f t="shared" ref="CN35:CN66" si="42">SUM(CO35:DH35)</f>
        <v>614924441</v>
      </c>
      <c r="CO35" s="1008"/>
      <c r="CP35" s="1008"/>
      <c r="CQ35" s="1008">
        <f>+'[12]MAYO 2015'!$H$730+'[12]MAYO 2015'!$H$740</f>
        <v>280000000</v>
      </c>
      <c r="CR35" s="1008">
        <f>+'[14]JUNIO 2015'!$H$871+'[14]JUNIO 2015'!$H$882</f>
        <v>303820881</v>
      </c>
      <c r="CS35" s="1008"/>
      <c r="CT35" s="1008">
        <f>+'[18]OCTUBRE 2015'!$O$1497</f>
        <v>31103560</v>
      </c>
      <c r="CU35" s="1008"/>
      <c r="CV35" s="1008"/>
      <c r="CW35" s="1008"/>
      <c r="CX35" s="1008"/>
      <c r="CY35" s="1008"/>
      <c r="CZ35" s="1008"/>
      <c r="DA35" s="1008"/>
      <c r="DB35" s="1008"/>
      <c r="DC35" s="1008"/>
      <c r="DD35" s="1008"/>
      <c r="DE35" s="1008"/>
      <c r="DF35" s="1008"/>
      <c r="DG35" s="1008"/>
      <c r="DH35" s="1008"/>
      <c r="DI35" s="1011">
        <f t="shared" si="15"/>
        <v>1.4261209060105196E-2</v>
      </c>
      <c r="DJ35" s="1008">
        <f t="shared" ref="DJ35:DJ66" si="43">SUM(DK35:ED35)</f>
        <v>8896440</v>
      </c>
      <c r="DK35" s="1008"/>
      <c r="DL35" s="1008">
        <f t="shared" ref="DL35:DN37" si="44">AA35-CP35</f>
        <v>0</v>
      </c>
      <c r="DM35" s="1008">
        <f t="shared" si="44"/>
        <v>0</v>
      </c>
      <c r="DN35" s="1008">
        <f t="shared" si="44"/>
        <v>0</v>
      </c>
      <c r="DO35" s="1008"/>
      <c r="DP35" s="1008">
        <f t="shared" ref="DP35:DQ58" si="45">AE35-CT35</f>
        <v>8896440</v>
      </c>
      <c r="DQ35" s="1008">
        <f t="shared" si="45"/>
        <v>0</v>
      </c>
      <c r="DR35" s="1008"/>
      <c r="DS35" s="1008">
        <f t="shared" ref="DS35:DT58" si="46">+AH35-CW35</f>
        <v>0</v>
      </c>
      <c r="DT35" s="1008">
        <f t="shared" si="46"/>
        <v>0</v>
      </c>
      <c r="DU35" s="1008"/>
      <c r="DV35" s="1008">
        <f t="shared" ref="DV35:DX58" si="47">AK35-CZ35</f>
        <v>0</v>
      </c>
      <c r="DW35" s="1008">
        <f t="shared" si="47"/>
        <v>0</v>
      </c>
      <c r="DX35" s="1008">
        <f t="shared" si="47"/>
        <v>0</v>
      </c>
      <c r="DY35" s="1008">
        <f t="shared" ref="DY35:EB58" si="48">+AN35-DC35</f>
        <v>0</v>
      </c>
      <c r="DZ35" s="1008">
        <f t="shared" si="48"/>
        <v>0</v>
      </c>
      <c r="EA35" s="1008">
        <f t="shared" si="48"/>
        <v>0</v>
      </c>
      <c r="EB35" s="1008">
        <f t="shared" si="48"/>
        <v>0</v>
      </c>
      <c r="EC35" s="1008"/>
      <c r="ED35" s="1008">
        <f t="shared" ref="ED35:ED66" si="49">+AS35-DH35</f>
        <v>0</v>
      </c>
    </row>
    <row r="36" spans="1:134" ht="48" customHeight="1" x14ac:dyDescent="0.25">
      <c r="A36" s="1562"/>
      <c r="B36" s="1019"/>
      <c r="C36" s="1116" t="s">
        <v>4368</v>
      </c>
      <c r="D36" s="1019" t="s">
        <v>4602</v>
      </c>
      <c r="E36" s="1020">
        <v>410</v>
      </c>
      <c r="F36" s="1120" t="s">
        <v>3350</v>
      </c>
      <c r="G36" s="1400"/>
      <c r="H36" s="1061">
        <f t="shared" si="31"/>
        <v>7649518</v>
      </c>
      <c r="I36" s="1061">
        <f t="shared" si="32"/>
        <v>0</v>
      </c>
      <c r="J36" s="1120" t="s">
        <v>4782</v>
      </c>
      <c r="K36" s="1115" t="s">
        <v>4783</v>
      </c>
      <c r="L36" s="1115" t="s">
        <v>4784</v>
      </c>
      <c r="M36" s="1115">
        <v>0</v>
      </c>
      <c r="N36" s="1115">
        <v>0</v>
      </c>
      <c r="O36" s="1115">
        <v>0</v>
      </c>
      <c r="P36" s="1115">
        <v>100</v>
      </c>
      <c r="Q36" s="1115">
        <v>33</v>
      </c>
      <c r="R36" s="1115">
        <v>33</v>
      </c>
      <c r="S36" s="1120"/>
      <c r="T36" s="1120"/>
      <c r="U36" s="1120"/>
      <c r="V36" s="1120"/>
      <c r="W36" s="1120"/>
      <c r="X36" s="1120"/>
      <c r="Y36" s="1008">
        <f t="shared" si="33"/>
        <v>7649518</v>
      </c>
      <c r="Z36" s="1008"/>
      <c r="AA36" s="1008">
        <f>100000000-92350482</f>
        <v>7649518</v>
      </c>
      <c r="AB36" s="1008"/>
      <c r="AC36" s="1008"/>
      <c r="AD36" s="1008"/>
      <c r="AE36" s="1008"/>
      <c r="AF36" s="1008"/>
      <c r="AG36" s="1008"/>
      <c r="AH36" s="1008"/>
      <c r="AI36" s="1008"/>
      <c r="AJ36" s="1008"/>
      <c r="AK36" s="1008"/>
      <c r="AL36" s="1008"/>
      <c r="AM36" s="1008"/>
      <c r="AN36" s="1008"/>
      <c r="AO36" s="1008"/>
      <c r="AP36" s="1008"/>
      <c r="AQ36" s="1008"/>
      <c r="AR36" s="1008"/>
      <c r="AS36" s="1008"/>
      <c r="AU36" s="1011">
        <f t="shared" si="3"/>
        <v>1</v>
      </c>
      <c r="AV36" s="1008">
        <f t="shared" si="34"/>
        <v>7649518</v>
      </c>
      <c r="AW36" s="1008"/>
      <c r="AX36" s="1008">
        <v>7649518</v>
      </c>
      <c r="AY36" s="1008"/>
      <c r="AZ36" s="1008"/>
      <c r="BA36" s="1008"/>
      <c r="BB36" s="1008"/>
      <c r="BC36" s="1008"/>
      <c r="BD36" s="1008"/>
      <c r="BE36" s="1008"/>
      <c r="BF36" s="1008"/>
      <c r="BG36" s="1008"/>
      <c r="BH36" s="1008"/>
      <c r="BI36" s="1008"/>
      <c r="BJ36" s="1008"/>
      <c r="BK36" s="1008"/>
      <c r="BL36" s="1008"/>
      <c r="BM36" s="1008"/>
      <c r="BN36" s="1008"/>
      <c r="BO36" s="1008"/>
      <c r="BP36" s="1008"/>
      <c r="BQ36" s="1011">
        <f t="shared" si="25"/>
        <v>0</v>
      </c>
      <c r="BR36" s="1008">
        <f t="shared" si="35"/>
        <v>0</v>
      </c>
      <c r="BS36" s="1008">
        <f t="shared" si="36"/>
        <v>0</v>
      </c>
      <c r="BT36" s="1008">
        <f t="shared" si="37"/>
        <v>0</v>
      </c>
      <c r="BU36" s="1008">
        <f t="shared" si="37"/>
        <v>0</v>
      </c>
      <c r="BV36" s="1008">
        <f t="shared" si="37"/>
        <v>0</v>
      </c>
      <c r="BW36" s="1008"/>
      <c r="BX36" s="1008">
        <f t="shared" si="38"/>
        <v>0</v>
      </c>
      <c r="BY36" s="1008">
        <f t="shared" si="38"/>
        <v>0</v>
      </c>
      <c r="BZ36" s="1008"/>
      <c r="CA36" s="1008"/>
      <c r="CB36" s="1008">
        <f t="shared" si="39"/>
        <v>0</v>
      </c>
      <c r="CC36" s="1008"/>
      <c r="CD36" s="1008">
        <f t="shared" si="40"/>
        <v>0</v>
      </c>
      <c r="CE36" s="1008">
        <f t="shared" si="40"/>
        <v>0</v>
      </c>
      <c r="CF36" s="1008">
        <f t="shared" si="40"/>
        <v>0</v>
      </c>
      <c r="CG36" s="1008">
        <f t="shared" si="40"/>
        <v>0</v>
      </c>
      <c r="CH36" s="1008">
        <f t="shared" si="40"/>
        <v>0</v>
      </c>
      <c r="CI36" s="1008">
        <f t="shared" si="40"/>
        <v>0</v>
      </c>
      <c r="CJ36" s="1008"/>
      <c r="CK36" s="1008"/>
      <c r="CL36" s="1008">
        <f t="shared" si="41"/>
        <v>0</v>
      </c>
      <c r="CM36" s="1011">
        <f t="shared" si="13"/>
        <v>1</v>
      </c>
      <c r="CN36" s="1008">
        <f t="shared" si="42"/>
        <v>7649518</v>
      </c>
      <c r="CO36" s="1008"/>
      <c r="CP36" s="1008">
        <f>+'[14]JUNIO 2015'!$K$891</f>
        <v>7649518</v>
      </c>
      <c r="CQ36" s="1008"/>
      <c r="CR36" s="1008"/>
      <c r="CS36" s="1008"/>
      <c r="CT36" s="1008"/>
      <c r="CU36" s="1008"/>
      <c r="CV36" s="1008"/>
      <c r="CW36" s="1008"/>
      <c r="CX36" s="1008"/>
      <c r="CY36" s="1008"/>
      <c r="CZ36" s="1008"/>
      <c r="DA36" s="1008"/>
      <c r="DB36" s="1008"/>
      <c r="DC36" s="1008"/>
      <c r="DD36" s="1008"/>
      <c r="DE36" s="1008"/>
      <c r="DF36" s="1008"/>
      <c r="DG36" s="1008"/>
      <c r="DH36" s="1008"/>
      <c r="DI36" s="1011">
        <f t="shared" si="15"/>
        <v>0</v>
      </c>
      <c r="DJ36" s="1008">
        <f t="shared" si="43"/>
        <v>0</v>
      </c>
      <c r="DK36" s="1008"/>
      <c r="DL36" s="1008">
        <f t="shared" si="44"/>
        <v>0</v>
      </c>
      <c r="DM36" s="1008">
        <f t="shared" si="44"/>
        <v>0</v>
      </c>
      <c r="DN36" s="1008">
        <f t="shared" si="44"/>
        <v>0</v>
      </c>
      <c r="DO36" s="1008"/>
      <c r="DP36" s="1008">
        <f t="shared" si="45"/>
        <v>0</v>
      </c>
      <c r="DQ36" s="1008">
        <f t="shared" si="45"/>
        <v>0</v>
      </c>
      <c r="DR36" s="1008"/>
      <c r="DS36" s="1008">
        <f t="shared" si="46"/>
        <v>0</v>
      </c>
      <c r="DT36" s="1008">
        <f t="shared" si="46"/>
        <v>0</v>
      </c>
      <c r="DU36" s="1008"/>
      <c r="DV36" s="1008">
        <f t="shared" si="47"/>
        <v>0</v>
      </c>
      <c r="DW36" s="1008">
        <f t="shared" si="47"/>
        <v>0</v>
      </c>
      <c r="DX36" s="1008">
        <f t="shared" si="47"/>
        <v>0</v>
      </c>
      <c r="DY36" s="1008">
        <f t="shared" si="48"/>
        <v>0</v>
      </c>
      <c r="DZ36" s="1008">
        <f t="shared" si="48"/>
        <v>0</v>
      </c>
      <c r="EA36" s="1008">
        <f t="shared" si="48"/>
        <v>0</v>
      </c>
      <c r="EB36" s="1008">
        <f t="shared" si="48"/>
        <v>0</v>
      </c>
      <c r="EC36" s="1008"/>
      <c r="ED36" s="1008">
        <f t="shared" si="49"/>
        <v>0</v>
      </c>
    </row>
    <row r="37" spans="1:134" ht="63.75" customHeight="1" x14ac:dyDescent="0.25">
      <c r="A37" s="1562"/>
      <c r="B37" s="1019"/>
      <c r="C37" s="1116" t="s">
        <v>4375</v>
      </c>
      <c r="D37" s="1019" t="s">
        <v>4318</v>
      </c>
      <c r="E37" s="1020">
        <v>410</v>
      </c>
      <c r="F37" s="1120" t="s">
        <v>3350</v>
      </c>
      <c r="G37" s="1401"/>
      <c r="H37" s="1061">
        <f t="shared" si="31"/>
        <v>161758923</v>
      </c>
      <c r="I37" s="1061">
        <f t="shared" si="32"/>
        <v>12608900</v>
      </c>
      <c r="J37" s="1120" t="s">
        <v>4785</v>
      </c>
      <c r="K37" s="1115" t="s">
        <v>4786</v>
      </c>
      <c r="L37" s="1115" t="s">
        <v>4787</v>
      </c>
      <c r="M37" s="1115">
        <v>56</v>
      </c>
      <c r="N37" s="1115">
        <v>100</v>
      </c>
      <c r="O37" s="1115">
        <v>56</v>
      </c>
      <c r="P37" s="1115">
        <v>49</v>
      </c>
      <c r="Q37" s="1115">
        <v>400</v>
      </c>
      <c r="R37" s="1115">
        <v>196</v>
      </c>
      <c r="S37" s="1120"/>
      <c r="T37" s="1120"/>
      <c r="U37" s="1120"/>
      <c r="V37" s="1120"/>
      <c r="W37" s="1120"/>
      <c r="X37" s="1120"/>
      <c r="Y37" s="1008">
        <f t="shared" si="33"/>
        <v>174367823</v>
      </c>
      <c r="Z37" s="1008"/>
      <c r="AA37" s="1008">
        <f>100000000-38824072</f>
        <v>61175928</v>
      </c>
      <c r="AB37" s="1008"/>
      <c r="AC37" s="1008"/>
      <c r="AD37" s="1008"/>
      <c r="AE37" s="1008">
        <v>50000000</v>
      </c>
      <c r="AF37" s="1008"/>
      <c r="AG37" s="1008"/>
      <c r="AH37" s="1008"/>
      <c r="AI37" s="1008"/>
      <c r="AJ37" s="1008"/>
      <c r="AK37" s="1008"/>
      <c r="AL37" s="1008"/>
      <c r="AM37" s="1008"/>
      <c r="AN37" s="1008"/>
      <c r="AO37" s="1008">
        <f>13191895+50000000</f>
        <v>63191895</v>
      </c>
      <c r="AP37" s="1008"/>
      <c r="AQ37" s="1008"/>
      <c r="AR37" s="1008"/>
      <c r="AS37" s="1008"/>
      <c r="AU37" s="1011">
        <f t="shared" si="3"/>
        <v>1</v>
      </c>
      <c r="AV37" s="1008">
        <f t="shared" si="34"/>
        <v>174367823</v>
      </c>
      <c r="AW37" s="1008"/>
      <c r="AX37" s="1008">
        <f>+'[14]JUNIO 2015'!$K$897</f>
        <v>61175928</v>
      </c>
      <c r="AY37" s="1008"/>
      <c r="AZ37" s="1008"/>
      <c r="BA37" s="1008"/>
      <c r="BB37" s="1008">
        <f>+'[14]JUNIO 2015'!$O$897</f>
        <v>50000000</v>
      </c>
      <c r="BC37" s="1008"/>
      <c r="BD37" s="1008"/>
      <c r="BE37" s="1008"/>
      <c r="BF37" s="1008"/>
      <c r="BG37" s="1008"/>
      <c r="BH37" s="1008"/>
      <c r="BI37" s="1008"/>
      <c r="BJ37" s="1008"/>
      <c r="BK37" s="1008"/>
      <c r="BL37" s="1008">
        <f>+'[17]SEPTIEMBRE 2015'!$Y$1352</f>
        <v>63191895</v>
      </c>
      <c r="BM37" s="1008"/>
      <c r="BN37" s="1008"/>
      <c r="BO37" s="1008"/>
      <c r="BP37" s="1008"/>
      <c r="BQ37" s="1011">
        <f t="shared" si="25"/>
        <v>0</v>
      </c>
      <c r="BR37" s="1008">
        <f t="shared" si="35"/>
        <v>0</v>
      </c>
      <c r="BS37" s="1008">
        <f t="shared" si="36"/>
        <v>0</v>
      </c>
      <c r="BT37" s="1008">
        <f t="shared" si="37"/>
        <v>0</v>
      </c>
      <c r="BU37" s="1008">
        <f t="shared" si="37"/>
        <v>0</v>
      </c>
      <c r="BV37" s="1008">
        <f t="shared" si="37"/>
        <v>0</v>
      </c>
      <c r="BW37" s="1008"/>
      <c r="BX37" s="1008">
        <f t="shared" si="38"/>
        <v>0</v>
      </c>
      <c r="BY37" s="1008">
        <f t="shared" si="38"/>
        <v>0</v>
      </c>
      <c r="BZ37" s="1008"/>
      <c r="CA37" s="1008"/>
      <c r="CB37" s="1008">
        <f t="shared" si="39"/>
        <v>0</v>
      </c>
      <c r="CC37" s="1008"/>
      <c r="CD37" s="1008">
        <f t="shared" si="40"/>
        <v>0</v>
      </c>
      <c r="CE37" s="1008">
        <f t="shared" si="40"/>
        <v>0</v>
      </c>
      <c r="CF37" s="1008">
        <f t="shared" si="40"/>
        <v>0</v>
      </c>
      <c r="CG37" s="1008">
        <f t="shared" si="40"/>
        <v>0</v>
      </c>
      <c r="CH37" s="1008">
        <f t="shared" si="40"/>
        <v>0</v>
      </c>
      <c r="CI37" s="1008">
        <f t="shared" si="40"/>
        <v>0</v>
      </c>
      <c r="CJ37" s="1008"/>
      <c r="CK37" s="1008"/>
      <c r="CL37" s="1008">
        <f t="shared" si="41"/>
        <v>0</v>
      </c>
      <c r="CM37" s="1011">
        <f t="shared" si="13"/>
        <v>0.92768791980616749</v>
      </c>
      <c r="CN37" s="1008">
        <f t="shared" si="42"/>
        <v>161758923</v>
      </c>
      <c r="CO37" s="1008"/>
      <c r="CP37" s="1008">
        <f>+'[14]JUNIO 2015'!$H$898</f>
        <v>61175928</v>
      </c>
      <c r="CQ37" s="1008"/>
      <c r="CR37" s="1008"/>
      <c r="CS37" s="1008"/>
      <c r="CT37" s="1008">
        <f>+'[17]SEPTIEMBRE 2015'!$H$1368</f>
        <v>50000000</v>
      </c>
      <c r="CU37" s="1008"/>
      <c r="CV37" s="1008"/>
      <c r="CW37" s="1008"/>
      <c r="CX37" s="1008"/>
      <c r="CY37" s="1008"/>
      <c r="CZ37" s="1008"/>
      <c r="DA37" s="1008"/>
      <c r="DB37" s="1008"/>
      <c r="DC37" s="1008"/>
      <c r="DD37" s="1008">
        <f>+'[18]OCTUBRE 2015'!$H$1559+'[18]OCTUBRE 2015'!$H$1562</f>
        <v>50582995</v>
      </c>
      <c r="DE37" s="1008"/>
      <c r="DF37" s="1008"/>
      <c r="DG37" s="1008"/>
      <c r="DH37" s="1008"/>
      <c r="DI37" s="1011">
        <f t="shared" si="15"/>
        <v>7.2312080193832506E-2</v>
      </c>
      <c r="DJ37" s="1008">
        <f t="shared" si="43"/>
        <v>12608900</v>
      </c>
      <c r="DK37" s="1008"/>
      <c r="DL37" s="1008">
        <f t="shared" si="44"/>
        <v>0</v>
      </c>
      <c r="DM37" s="1008">
        <f t="shared" si="44"/>
        <v>0</v>
      </c>
      <c r="DN37" s="1008">
        <f t="shared" si="44"/>
        <v>0</v>
      </c>
      <c r="DO37" s="1008"/>
      <c r="DP37" s="1008">
        <f t="shared" si="45"/>
        <v>0</v>
      </c>
      <c r="DQ37" s="1008">
        <f t="shared" si="45"/>
        <v>0</v>
      </c>
      <c r="DR37" s="1008"/>
      <c r="DS37" s="1008">
        <f t="shared" si="46"/>
        <v>0</v>
      </c>
      <c r="DT37" s="1008">
        <f t="shared" si="46"/>
        <v>0</v>
      </c>
      <c r="DU37" s="1008"/>
      <c r="DV37" s="1008">
        <f t="shared" si="47"/>
        <v>0</v>
      </c>
      <c r="DW37" s="1008">
        <f t="shared" si="47"/>
        <v>0</v>
      </c>
      <c r="DX37" s="1008">
        <f t="shared" si="47"/>
        <v>0</v>
      </c>
      <c r="DY37" s="1008">
        <f t="shared" si="48"/>
        <v>0</v>
      </c>
      <c r="DZ37" s="1008">
        <f t="shared" si="48"/>
        <v>12608900</v>
      </c>
      <c r="EA37" s="1008">
        <f t="shared" si="48"/>
        <v>0</v>
      </c>
      <c r="EB37" s="1008">
        <f t="shared" si="48"/>
        <v>0</v>
      </c>
      <c r="EC37" s="1008"/>
      <c r="ED37" s="1008">
        <f t="shared" si="49"/>
        <v>0</v>
      </c>
    </row>
    <row r="38" spans="1:134" ht="36.75" customHeight="1" x14ac:dyDescent="0.25">
      <c r="A38" s="1562"/>
      <c r="B38" s="1019" t="s">
        <v>4308</v>
      </c>
      <c r="C38" s="1117" t="s">
        <v>4369</v>
      </c>
      <c r="D38" s="1019" t="s">
        <v>4724</v>
      </c>
      <c r="E38" s="1020">
        <v>410</v>
      </c>
      <c r="F38" s="1120" t="s">
        <v>3350</v>
      </c>
      <c r="G38" s="1399">
        <v>170000000</v>
      </c>
      <c r="H38" s="1061">
        <f t="shared" si="31"/>
        <v>0</v>
      </c>
      <c r="I38" s="1061">
        <f t="shared" si="32"/>
        <v>0</v>
      </c>
      <c r="J38" s="1120" t="s">
        <v>4788</v>
      </c>
      <c r="K38" s="1115" t="s">
        <v>4789</v>
      </c>
      <c r="L38" s="1115" t="s">
        <v>4790</v>
      </c>
      <c r="M38" s="1115">
        <v>0</v>
      </c>
      <c r="N38" s="1115">
        <v>0</v>
      </c>
      <c r="O38" s="1115">
        <v>0</v>
      </c>
      <c r="P38" s="1115">
        <v>0</v>
      </c>
      <c r="Q38" s="1115">
        <v>0</v>
      </c>
      <c r="R38" s="1115">
        <v>0</v>
      </c>
      <c r="S38" s="1120"/>
      <c r="T38" s="1120"/>
      <c r="U38" s="1120"/>
      <c r="V38" s="1120"/>
      <c r="W38" s="1120"/>
      <c r="X38" s="1120"/>
      <c r="Y38" s="1008">
        <f t="shared" si="33"/>
        <v>0</v>
      </c>
      <c r="Z38" s="1008"/>
      <c r="AA38" s="1008"/>
      <c r="AB38" s="1008"/>
      <c r="AC38" s="1008"/>
      <c r="AD38" s="1008"/>
      <c r="AE38" s="1008">
        <f>10000000-10000000</f>
        <v>0</v>
      </c>
      <c r="AF38" s="1008"/>
      <c r="AG38" s="1008"/>
      <c r="AH38" s="1008"/>
      <c r="AI38" s="1008"/>
      <c r="AJ38" s="1008"/>
      <c r="AK38" s="1008"/>
      <c r="AL38" s="1008"/>
      <c r="AM38" s="1008"/>
      <c r="AN38" s="1008"/>
      <c r="AO38" s="1008"/>
      <c r="AP38" s="1008"/>
      <c r="AQ38" s="1008"/>
      <c r="AR38" s="1008"/>
      <c r="AS38" s="1008"/>
      <c r="AU38" s="1011">
        <v>0</v>
      </c>
      <c r="AV38" s="1008">
        <f t="shared" si="34"/>
        <v>0</v>
      </c>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11">
        <v>0</v>
      </c>
      <c r="BR38" s="1008">
        <f t="shared" si="35"/>
        <v>0</v>
      </c>
      <c r="BS38" s="1008">
        <f t="shared" si="36"/>
        <v>0</v>
      </c>
      <c r="BT38" s="1008"/>
      <c r="BU38" s="1008">
        <f t="shared" si="37"/>
        <v>0</v>
      </c>
      <c r="BV38" s="1008">
        <f t="shared" si="37"/>
        <v>0</v>
      </c>
      <c r="BW38" s="1008"/>
      <c r="BX38" s="1008">
        <f t="shared" si="38"/>
        <v>0</v>
      </c>
      <c r="BY38" s="1008">
        <f t="shared" si="38"/>
        <v>0</v>
      </c>
      <c r="BZ38" s="1008"/>
      <c r="CA38" s="1008">
        <f>+AH38-BE38</f>
        <v>0</v>
      </c>
      <c r="CB38" s="1008">
        <f t="shared" si="39"/>
        <v>0</v>
      </c>
      <c r="CC38" s="1008">
        <f>+AJ38-BG38</f>
        <v>0</v>
      </c>
      <c r="CD38" s="1008">
        <f t="shared" si="40"/>
        <v>0</v>
      </c>
      <c r="CE38" s="1008">
        <f t="shared" si="40"/>
        <v>0</v>
      </c>
      <c r="CF38" s="1008">
        <f t="shared" si="40"/>
        <v>0</v>
      </c>
      <c r="CG38" s="1008">
        <f t="shared" si="40"/>
        <v>0</v>
      </c>
      <c r="CH38" s="1008">
        <f t="shared" si="40"/>
        <v>0</v>
      </c>
      <c r="CI38" s="1008">
        <f t="shared" si="40"/>
        <v>0</v>
      </c>
      <c r="CJ38" s="1008"/>
      <c r="CK38" s="1008"/>
      <c r="CL38" s="1008">
        <f t="shared" si="41"/>
        <v>0</v>
      </c>
      <c r="CM38" s="1011">
        <v>0</v>
      </c>
      <c r="CN38" s="1008">
        <f t="shared" si="42"/>
        <v>0</v>
      </c>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11">
        <v>0</v>
      </c>
      <c r="DJ38" s="1008">
        <f t="shared" si="43"/>
        <v>0</v>
      </c>
      <c r="DK38" s="1008"/>
      <c r="DL38" s="1008"/>
      <c r="DM38" s="1008"/>
      <c r="DN38" s="1008"/>
      <c r="DO38" s="1008"/>
      <c r="DP38" s="1008">
        <f t="shared" si="45"/>
        <v>0</v>
      </c>
      <c r="DQ38" s="1008">
        <f t="shared" si="45"/>
        <v>0</v>
      </c>
      <c r="DR38" s="1008"/>
      <c r="DS38" s="1008">
        <f t="shared" si="46"/>
        <v>0</v>
      </c>
      <c r="DT38" s="1008">
        <f t="shared" si="46"/>
        <v>0</v>
      </c>
      <c r="DU38" s="1008"/>
      <c r="DV38" s="1008">
        <f t="shared" si="47"/>
        <v>0</v>
      </c>
      <c r="DW38" s="1008">
        <f t="shared" si="47"/>
        <v>0</v>
      </c>
      <c r="DX38" s="1008">
        <f t="shared" si="47"/>
        <v>0</v>
      </c>
      <c r="DY38" s="1008">
        <f t="shared" si="48"/>
        <v>0</v>
      </c>
      <c r="DZ38" s="1008">
        <f t="shared" si="48"/>
        <v>0</v>
      </c>
      <c r="EA38" s="1008">
        <f t="shared" si="48"/>
        <v>0</v>
      </c>
      <c r="EB38" s="1008">
        <f t="shared" si="48"/>
        <v>0</v>
      </c>
      <c r="EC38" s="1008"/>
      <c r="ED38" s="1008">
        <f t="shared" si="49"/>
        <v>0</v>
      </c>
    </row>
    <row r="39" spans="1:134" ht="37.5" customHeight="1" x14ac:dyDescent="0.25">
      <c r="A39" s="1562"/>
      <c r="B39" s="1019"/>
      <c r="C39" s="1116" t="s">
        <v>4370</v>
      </c>
      <c r="D39" s="1019" t="s">
        <v>4603</v>
      </c>
      <c r="E39" s="1020">
        <v>410</v>
      </c>
      <c r="F39" s="1120" t="s">
        <v>3350</v>
      </c>
      <c r="G39" s="1400"/>
      <c r="H39" s="1061">
        <f t="shared" si="31"/>
        <v>119444732</v>
      </c>
      <c r="I39" s="1061">
        <f t="shared" si="32"/>
        <v>61399353</v>
      </c>
      <c r="J39" s="1120" t="s">
        <v>4776</v>
      </c>
      <c r="K39" s="1115" t="s">
        <v>4791</v>
      </c>
      <c r="L39" s="1115" t="s">
        <v>4792</v>
      </c>
      <c r="M39" s="1115">
        <v>10</v>
      </c>
      <c r="N39" s="1115">
        <v>0</v>
      </c>
      <c r="O39" s="1115">
        <v>0</v>
      </c>
      <c r="P39" s="1115">
        <v>26</v>
      </c>
      <c r="Q39" s="1115">
        <v>200</v>
      </c>
      <c r="R39" s="1115">
        <v>26</v>
      </c>
      <c r="S39" s="1120"/>
      <c r="T39" s="1120"/>
      <c r="U39" s="1120"/>
      <c r="V39" s="1120"/>
      <c r="W39" s="1120"/>
      <c r="X39" s="1120"/>
      <c r="Y39" s="1008">
        <f t="shared" si="33"/>
        <v>180844085</v>
      </c>
      <c r="Z39" s="1008"/>
      <c r="AA39" s="1008"/>
      <c r="AB39" s="1008"/>
      <c r="AC39" s="1008"/>
      <c r="AD39" s="1008"/>
      <c r="AE39" s="1008">
        <v>20000000</v>
      </c>
      <c r="AF39" s="1008"/>
      <c r="AG39" s="1008"/>
      <c r="AH39" s="1008"/>
      <c r="AI39" s="1008"/>
      <c r="AJ39" s="1008"/>
      <c r="AK39" s="1008"/>
      <c r="AL39" s="1008"/>
      <c r="AM39" s="1008"/>
      <c r="AN39" s="1008">
        <f>100000000-20000000</f>
        <v>80000000</v>
      </c>
      <c r="AO39" s="1008"/>
      <c r="AP39" s="1008"/>
      <c r="AQ39" s="1008">
        <v>80844085</v>
      </c>
      <c r="AR39" s="1008"/>
      <c r="AS39" s="1008"/>
      <c r="AU39" s="1011">
        <f t="shared" si="3"/>
        <v>1</v>
      </c>
      <c r="AV39" s="1008">
        <f t="shared" si="34"/>
        <v>180844085</v>
      </c>
      <c r="AW39" s="1008"/>
      <c r="AX39" s="1008"/>
      <c r="AY39" s="1008"/>
      <c r="AZ39" s="1008"/>
      <c r="BA39" s="1008"/>
      <c r="BB39" s="1008">
        <f>+'[9]FEBRERO 2015'!$N$495</f>
        <v>20000000</v>
      </c>
      <c r="BC39" s="1008"/>
      <c r="BD39" s="1008"/>
      <c r="BE39" s="1008"/>
      <c r="BF39" s="1008"/>
      <c r="BG39" s="1008"/>
      <c r="BH39" s="1008"/>
      <c r="BI39" s="1008"/>
      <c r="BJ39" s="1008"/>
      <c r="BK39" s="1008">
        <f>+'[18]OCTUBRE 2015'!$X$1580</f>
        <v>80000000</v>
      </c>
      <c r="BL39" s="1008"/>
      <c r="BM39" s="1008"/>
      <c r="BN39" s="1008">
        <f>+'[10]MARZO 2015'!$Z$635</f>
        <v>80844085</v>
      </c>
      <c r="BO39" s="1008"/>
      <c r="BP39" s="1008"/>
      <c r="BQ39" s="1011">
        <f t="shared" si="25"/>
        <v>0</v>
      </c>
      <c r="BR39" s="1008">
        <f t="shared" si="35"/>
        <v>0</v>
      </c>
      <c r="BS39" s="1008">
        <f t="shared" si="36"/>
        <v>0</v>
      </c>
      <c r="BT39" s="1008"/>
      <c r="BU39" s="1008">
        <f t="shared" si="37"/>
        <v>0</v>
      </c>
      <c r="BV39" s="1008">
        <f t="shared" si="37"/>
        <v>0</v>
      </c>
      <c r="BW39" s="1008"/>
      <c r="BX39" s="1008">
        <f t="shared" si="38"/>
        <v>0</v>
      </c>
      <c r="BY39" s="1008">
        <f t="shared" si="38"/>
        <v>0</v>
      </c>
      <c r="BZ39" s="1008"/>
      <c r="CA39" s="1008">
        <f>+AH39-BE39</f>
        <v>0</v>
      </c>
      <c r="CB39" s="1008">
        <f t="shared" si="39"/>
        <v>0</v>
      </c>
      <c r="CC39" s="1008">
        <f>+AJ39-BG39</f>
        <v>0</v>
      </c>
      <c r="CD39" s="1008">
        <f t="shared" si="40"/>
        <v>0</v>
      </c>
      <c r="CE39" s="1008">
        <f t="shared" si="40"/>
        <v>0</v>
      </c>
      <c r="CF39" s="1008">
        <f t="shared" si="40"/>
        <v>0</v>
      </c>
      <c r="CG39" s="1008">
        <f t="shared" si="40"/>
        <v>0</v>
      </c>
      <c r="CH39" s="1008">
        <f t="shared" si="40"/>
        <v>0</v>
      </c>
      <c r="CI39" s="1008">
        <f t="shared" si="40"/>
        <v>0</v>
      </c>
      <c r="CJ39" s="1008"/>
      <c r="CK39" s="1008"/>
      <c r="CL39" s="1008">
        <f t="shared" si="41"/>
        <v>0</v>
      </c>
      <c r="CM39" s="1011">
        <f t="shared" si="13"/>
        <v>0.66048459367637047</v>
      </c>
      <c r="CN39" s="1008">
        <f t="shared" si="42"/>
        <v>119444732</v>
      </c>
      <c r="CO39" s="1008"/>
      <c r="CP39" s="1008"/>
      <c r="CQ39" s="1008"/>
      <c r="CR39" s="1008"/>
      <c r="CS39" s="1008"/>
      <c r="CT39" s="1008">
        <f>+'[14]JUNIO 2015'!$H$924</f>
        <v>20000000</v>
      </c>
      <c r="CU39" s="1008"/>
      <c r="CV39" s="1008"/>
      <c r="CW39" s="1008"/>
      <c r="CX39" s="1008"/>
      <c r="CY39" s="1008"/>
      <c r="CZ39" s="1008"/>
      <c r="DA39" s="1008"/>
      <c r="DB39" s="1008"/>
      <c r="DC39" s="1008">
        <f>+'[18]OCTUBRE 2015'!$H$1586+'[18]OCTUBRE 2015'!$H$1596+'[18]OCTUBRE 2015'!$H$1618</f>
        <v>66896181</v>
      </c>
      <c r="DD39" s="1008"/>
      <c r="DE39" s="1008"/>
      <c r="DF39" s="1008">
        <f>+'[18]OCTUBRE 2015'!$H$1602</f>
        <v>32548551</v>
      </c>
      <c r="DG39" s="1008"/>
      <c r="DH39" s="1008"/>
      <c r="DI39" s="1011">
        <f t="shared" si="15"/>
        <v>0.33951540632362953</v>
      </c>
      <c r="DJ39" s="1008">
        <f t="shared" si="43"/>
        <v>61399353</v>
      </c>
      <c r="DK39" s="1008"/>
      <c r="DL39" s="1008"/>
      <c r="DM39" s="1008"/>
      <c r="DN39" s="1008"/>
      <c r="DO39" s="1008"/>
      <c r="DP39" s="1008">
        <f t="shared" si="45"/>
        <v>0</v>
      </c>
      <c r="DQ39" s="1008">
        <f t="shared" si="45"/>
        <v>0</v>
      </c>
      <c r="DR39" s="1008"/>
      <c r="DS39" s="1008">
        <f t="shared" si="46"/>
        <v>0</v>
      </c>
      <c r="DT39" s="1008">
        <f t="shared" si="46"/>
        <v>0</v>
      </c>
      <c r="DU39" s="1008"/>
      <c r="DV39" s="1008">
        <f t="shared" si="47"/>
        <v>0</v>
      </c>
      <c r="DW39" s="1008">
        <f t="shared" si="47"/>
        <v>0</v>
      </c>
      <c r="DX39" s="1008">
        <f t="shared" si="47"/>
        <v>0</v>
      </c>
      <c r="DY39" s="1008">
        <f t="shared" si="48"/>
        <v>13103819</v>
      </c>
      <c r="DZ39" s="1008">
        <f t="shared" si="48"/>
        <v>0</v>
      </c>
      <c r="EA39" s="1008">
        <f t="shared" si="48"/>
        <v>0</v>
      </c>
      <c r="EB39" s="1008">
        <f t="shared" si="48"/>
        <v>48295534</v>
      </c>
      <c r="EC39" s="1008"/>
      <c r="ED39" s="1008">
        <f t="shared" si="49"/>
        <v>0</v>
      </c>
    </row>
    <row r="40" spans="1:134" ht="42" customHeight="1" x14ac:dyDescent="0.25">
      <c r="A40" s="1562"/>
      <c r="B40" s="1019"/>
      <c r="C40" s="1116" t="s">
        <v>4371</v>
      </c>
      <c r="D40" s="1019" t="s">
        <v>4604</v>
      </c>
      <c r="E40" s="1020">
        <v>410</v>
      </c>
      <c r="F40" s="1120" t="s">
        <v>3350</v>
      </c>
      <c r="G40" s="1400"/>
      <c r="H40" s="1061">
        <f t="shared" si="31"/>
        <v>1064000</v>
      </c>
      <c r="I40" s="1061">
        <f t="shared" si="32"/>
        <v>8936000</v>
      </c>
      <c r="J40" s="1120" t="s">
        <v>4793</v>
      </c>
      <c r="K40" s="1115" t="s">
        <v>4794</v>
      </c>
      <c r="L40" s="1115" t="s">
        <v>4795</v>
      </c>
      <c r="M40" s="1115">
        <v>0</v>
      </c>
      <c r="N40" s="1115">
        <v>0</v>
      </c>
      <c r="O40" s="1115">
        <v>0</v>
      </c>
      <c r="P40" s="1115">
        <v>6</v>
      </c>
      <c r="Q40" s="1115">
        <v>0</v>
      </c>
      <c r="R40" s="1115">
        <v>0</v>
      </c>
      <c r="S40" s="1120"/>
      <c r="T40" s="1120"/>
      <c r="U40" s="1120"/>
      <c r="V40" s="1120"/>
      <c r="W40" s="1120"/>
      <c r="X40" s="1120"/>
      <c r="Y40" s="1008">
        <f t="shared" si="33"/>
        <v>10000000</v>
      </c>
      <c r="Z40" s="1008"/>
      <c r="AA40" s="1008"/>
      <c r="AB40" s="1008"/>
      <c r="AC40" s="1008"/>
      <c r="AD40" s="1008"/>
      <c r="AE40" s="1008">
        <v>10000000</v>
      </c>
      <c r="AF40" s="1008"/>
      <c r="AG40" s="1008"/>
      <c r="AH40" s="1008"/>
      <c r="AI40" s="1008"/>
      <c r="AJ40" s="1008"/>
      <c r="AK40" s="1008"/>
      <c r="AL40" s="1008"/>
      <c r="AM40" s="1008"/>
      <c r="AN40" s="1008"/>
      <c r="AO40" s="1008"/>
      <c r="AP40" s="1008"/>
      <c r="AQ40" s="1008"/>
      <c r="AR40" s="1008"/>
      <c r="AS40" s="1008"/>
      <c r="AU40" s="1011">
        <f t="shared" si="3"/>
        <v>1</v>
      </c>
      <c r="AV40" s="1008">
        <f t="shared" si="34"/>
        <v>10000000</v>
      </c>
      <c r="AW40" s="1008"/>
      <c r="AX40" s="1008"/>
      <c r="AY40" s="1008"/>
      <c r="AZ40" s="1008"/>
      <c r="BA40" s="1008"/>
      <c r="BB40" s="1008">
        <f>+'[9]FEBRERO 2015'!$N$501</f>
        <v>10000000</v>
      </c>
      <c r="BC40" s="1008"/>
      <c r="BD40" s="1008"/>
      <c r="BE40" s="1008"/>
      <c r="BF40" s="1008"/>
      <c r="BG40" s="1008"/>
      <c r="BH40" s="1008"/>
      <c r="BI40" s="1008"/>
      <c r="BJ40" s="1008"/>
      <c r="BK40" s="1008"/>
      <c r="BL40" s="1008"/>
      <c r="BM40" s="1008"/>
      <c r="BN40" s="1008"/>
      <c r="BO40" s="1008"/>
      <c r="BP40" s="1008"/>
      <c r="BQ40" s="1011">
        <f t="shared" si="25"/>
        <v>0</v>
      </c>
      <c r="BR40" s="1008">
        <f t="shared" si="35"/>
        <v>0</v>
      </c>
      <c r="BS40" s="1008">
        <f t="shared" si="36"/>
        <v>0</v>
      </c>
      <c r="BT40" s="1008"/>
      <c r="BU40" s="1008">
        <f t="shared" si="37"/>
        <v>0</v>
      </c>
      <c r="BV40" s="1008">
        <f t="shared" si="37"/>
        <v>0</v>
      </c>
      <c r="BW40" s="1008"/>
      <c r="BX40" s="1008">
        <f t="shared" si="38"/>
        <v>0</v>
      </c>
      <c r="BY40" s="1008">
        <f t="shared" si="38"/>
        <v>0</v>
      </c>
      <c r="BZ40" s="1008"/>
      <c r="CA40" s="1008">
        <f>+AH40-BE40</f>
        <v>0</v>
      </c>
      <c r="CB40" s="1008">
        <f t="shared" si="39"/>
        <v>0</v>
      </c>
      <c r="CC40" s="1008">
        <f>+AJ40-BG40</f>
        <v>0</v>
      </c>
      <c r="CD40" s="1008">
        <f t="shared" si="40"/>
        <v>0</v>
      </c>
      <c r="CE40" s="1008">
        <f t="shared" si="40"/>
        <v>0</v>
      </c>
      <c r="CF40" s="1008">
        <f t="shared" si="40"/>
        <v>0</v>
      </c>
      <c r="CG40" s="1008">
        <f t="shared" si="40"/>
        <v>0</v>
      </c>
      <c r="CH40" s="1008">
        <f t="shared" si="40"/>
        <v>0</v>
      </c>
      <c r="CI40" s="1008">
        <f t="shared" si="40"/>
        <v>0</v>
      </c>
      <c r="CJ40" s="1008"/>
      <c r="CK40" s="1008"/>
      <c r="CL40" s="1008">
        <f t="shared" si="41"/>
        <v>0</v>
      </c>
      <c r="CM40" s="1011">
        <f t="shared" si="13"/>
        <v>0.10639999999999999</v>
      </c>
      <c r="CN40" s="1008">
        <f t="shared" si="42"/>
        <v>1064000</v>
      </c>
      <c r="CO40" s="1008"/>
      <c r="CP40" s="1008"/>
      <c r="CQ40" s="1008"/>
      <c r="CR40" s="1008"/>
      <c r="CS40" s="1008"/>
      <c r="CT40" s="1008">
        <f>+'[16]AGOSTO 2015'!$H$1265</f>
        <v>1064000</v>
      </c>
      <c r="CU40" s="1008"/>
      <c r="CV40" s="1008"/>
      <c r="CW40" s="1008"/>
      <c r="CX40" s="1008"/>
      <c r="CY40" s="1008"/>
      <c r="CZ40" s="1008"/>
      <c r="DA40" s="1008"/>
      <c r="DB40" s="1008"/>
      <c r="DC40" s="1008"/>
      <c r="DD40" s="1008"/>
      <c r="DE40" s="1008"/>
      <c r="DF40" s="1008"/>
      <c r="DG40" s="1008"/>
      <c r="DH40" s="1008"/>
      <c r="DI40" s="1011">
        <f t="shared" si="15"/>
        <v>0.89359999999999995</v>
      </c>
      <c r="DJ40" s="1008">
        <f t="shared" si="43"/>
        <v>8936000</v>
      </c>
      <c r="DK40" s="1008"/>
      <c r="DL40" s="1008"/>
      <c r="DM40" s="1008"/>
      <c r="DN40" s="1008"/>
      <c r="DO40" s="1008"/>
      <c r="DP40" s="1008">
        <f t="shared" si="45"/>
        <v>8936000</v>
      </c>
      <c r="DQ40" s="1008">
        <f t="shared" si="45"/>
        <v>0</v>
      </c>
      <c r="DR40" s="1008"/>
      <c r="DS40" s="1008">
        <f t="shared" si="46"/>
        <v>0</v>
      </c>
      <c r="DT40" s="1008">
        <f t="shared" si="46"/>
        <v>0</v>
      </c>
      <c r="DU40" s="1008"/>
      <c r="DV40" s="1008">
        <f t="shared" si="47"/>
        <v>0</v>
      </c>
      <c r="DW40" s="1008">
        <f t="shared" si="47"/>
        <v>0</v>
      </c>
      <c r="DX40" s="1008">
        <f t="shared" si="47"/>
        <v>0</v>
      </c>
      <c r="DY40" s="1008">
        <f t="shared" si="48"/>
        <v>0</v>
      </c>
      <c r="DZ40" s="1008">
        <f t="shared" si="48"/>
        <v>0</v>
      </c>
      <c r="EA40" s="1008">
        <f t="shared" si="48"/>
        <v>0</v>
      </c>
      <c r="EB40" s="1008">
        <f t="shared" si="48"/>
        <v>0</v>
      </c>
      <c r="EC40" s="1008"/>
      <c r="ED40" s="1008">
        <f t="shared" si="49"/>
        <v>0</v>
      </c>
    </row>
    <row r="41" spans="1:134" ht="48.75" customHeight="1" x14ac:dyDescent="0.25">
      <c r="A41" s="1562"/>
      <c r="B41" s="1019"/>
      <c r="C41" s="1116" t="s">
        <v>4372</v>
      </c>
      <c r="D41" s="1019" t="s">
        <v>4607</v>
      </c>
      <c r="E41" s="1020">
        <v>410</v>
      </c>
      <c r="F41" s="1120" t="s">
        <v>3350</v>
      </c>
      <c r="G41" s="1400"/>
      <c r="H41" s="1061">
        <f t="shared" si="31"/>
        <v>6500000</v>
      </c>
      <c r="I41" s="1061">
        <f t="shared" si="32"/>
        <v>3500000</v>
      </c>
      <c r="J41" s="1120" t="s">
        <v>4796</v>
      </c>
      <c r="K41" s="1115" t="s">
        <v>4797</v>
      </c>
      <c r="L41" s="1115" t="s">
        <v>4798</v>
      </c>
      <c r="M41" s="1115">
        <v>5</v>
      </c>
      <c r="N41" s="1115">
        <v>0</v>
      </c>
      <c r="O41" s="1115">
        <v>0</v>
      </c>
      <c r="P41" s="1115">
        <v>16</v>
      </c>
      <c r="Q41" s="1115">
        <v>0</v>
      </c>
      <c r="R41" s="1115">
        <v>0</v>
      </c>
      <c r="S41" s="1120"/>
      <c r="T41" s="1120"/>
      <c r="U41" s="1120"/>
      <c r="V41" s="1120"/>
      <c r="W41" s="1120"/>
      <c r="X41" s="1120"/>
      <c r="Y41" s="1008">
        <f t="shared" si="33"/>
        <v>10000000</v>
      </c>
      <c r="Z41" s="1008"/>
      <c r="AA41" s="1008"/>
      <c r="AB41" s="1008"/>
      <c r="AC41" s="1008"/>
      <c r="AD41" s="1008"/>
      <c r="AE41" s="1008">
        <f>30000000-20000000</f>
        <v>10000000</v>
      </c>
      <c r="AF41" s="1008"/>
      <c r="AG41" s="1008"/>
      <c r="AH41" s="1008"/>
      <c r="AI41" s="1008"/>
      <c r="AJ41" s="1008"/>
      <c r="AK41" s="1008"/>
      <c r="AL41" s="1008"/>
      <c r="AM41" s="1008"/>
      <c r="AN41" s="1008"/>
      <c r="AO41" s="1008"/>
      <c r="AP41" s="1008"/>
      <c r="AQ41" s="1008"/>
      <c r="AR41" s="1008"/>
      <c r="AS41" s="1008"/>
      <c r="AU41" s="1011">
        <f t="shared" si="3"/>
        <v>1</v>
      </c>
      <c r="AV41" s="1008">
        <f t="shared" si="34"/>
        <v>10000000</v>
      </c>
      <c r="AW41" s="1008"/>
      <c r="AX41" s="1008"/>
      <c r="AY41" s="1008"/>
      <c r="AZ41" s="1008"/>
      <c r="BA41" s="1008"/>
      <c r="BB41" s="1008">
        <f>+'[14]JUNIO 2015'!$O$956</f>
        <v>10000000</v>
      </c>
      <c r="BC41" s="1008"/>
      <c r="BD41" s="1008"/>
      <c r="BE41" s="1008"/>
      <c r="BF41" s="1008"/>
      <c r="BG41" s="1008"/>
      <c r="BH41" s="1008"/>
      <c r="BI41" s="1008"/>
      <c r="BJ41" s="1008"/>
      <c r="BK41" s="1008"/>
      <c r="BL41" s="1008"/>
      <c r="BM41" s="1008"/>
      <c r="BN41" s="1008"/>
      <c r="BO41" s="1008"/>
      <c r="BP41" s="1008"/>
      <c r="BQ41" s="1011">
        <f t="shared" si="25"/>
        <v>0</v>
      </c>
      <c r="BR41" s="1008">
        <f t="shared" si="35"/>
        <v>0</v>
      </c>
      <c r="BS41" s="1008">
        <f t="shared" si="36"/>
        <v>0</v>
      </c>
      <c r="BT41" s="1008"/>
      <c r="BU41" s="1008">
        <f t="shared" si="37"/>
        <v>0</v>
      </c>
      <c r="BV41" s="1008">
        <f t="shared" si="37"/>
        <v>0</v>
      </c>
      <c r="BW41" s="1008"/>
      <c r="BX41" s="1008">
        <f t="shared" si="38"/>
        <v>0</v>
      </c>
      <c r="BY41" s="1008">
        <f t="shared" si="38"/>
        <v>0</v>
      </c>
      <c r="BZ41" s="1008"/>
      <c r="CA41" s="1008">
        <f>+AH41-BE41</f>
        <v>0</v>
      </c>
      <c r="CB41" s="1008">
        <f t="shared" si="39"/>
        <v>0</v>
      </c>
      <c r="CC41" s="1008">
        <f>+AJ41-BG41</f>
        <v>0</v>
      </c>
      <c r="CD41" s="1008">
        <f t="shared" si="40"/>
        <v>0</v>
      </c>
      <c r="CE41" s="1008">
        <f t="shared" si="40"/>
        <v>0</v>
      </c>
      <c r="CF41" s="1008">
        <f t="shared" si="40"/>
        <v>0</v>
      </c>
      <c r="CG41" s="1008">
        <f t="shared" si="40"/>
        <v>0</v>
      </c>
      <c r="CH41" s="1008">
        <f t="shared" si="40"/>
        <v>0</v>
      </c>
      <c r="CI41" s="1008">
        <f t="shared" si="40"/>
        <v>0</v>
      </c>
      <c r="CJ41" s="1008"/>
      <c r="CK41" s="1008"/>
      <c r="CL41" s="1008">
        <f t="shared" si="41"/>
        <v>0</v>
      </c>
      <c r="CM41" s="1011">
        <f t="shared" si="13"/>
        <v>0.65</v>
      </c>
      <c r="CN41" s="1008">
        <f t="shared" si="42"/>
        <v>6500000</v>
      </c>
      <c r="CO41" s="1008"/>
      <c r="CP41" s="1008"/>
      <c r="CQ41" s="1008"/>
      <c r="CR41" s="1008"/>
      <c r="CS41" s="1008"/>
      <c r="CT41" s="1008">
        <f>+'[15]JULIO 2015'!$H$1127</f>
        <v>6500000</v>
      </c>
      <c r="CU41" s="1008"/>
      <c r="CV41" s="1008"/>
      <c r="CW41" s="1008"/>
      <c r="CX41" s="1008"/>
      <c r="CY41" s="1008"/>
      <c r="CZ41" s="1008"/>
      <c r="DA41" s="1008"/>
      <c r="DB41" s="1008"/>
      <c r="DC41" s="1008"/>
      <c r="DD41" s="1008"/>
      <c r="DE41" s="1008"/>
      <c r="DF41" s="1008"/>
      <c r="DG41" s="1008"/>
      <c r="DH41" s="1008"/>
      <c r="DI41" s="1011">
        <f t="shared" si="15"/>
        <v>0.35</v>
      </c>
      <c r="DJ41" s="1008">
        <f t="shared" si="43"/>
        <v>3500000</v>
      </c>
      <c r="DK41" s="1008"/>
      <c r="DL41" s="1008"/>
      <c r="DM41" s="1008"/>
      <c r="DN41" s="1008"/>
      <c r="DO41" s="1008"/>
      <c r="DP41" s="1008">
        <f t="shared" si="45"/>
        <v>3500000</v>
      </c>
      <c r="DQ41" s="1008">
        <f t="shared" si="45"/>
        <v>0</v>
      </c>
      <c r="DR41" s="1008"/>
      <c r="DS41" s="1008">
        <f t="shared" si="46"/>
        <v>0</v>
      </c>
      <c r="DT41" s="1008">
        <f t="shared" si="46"/>
        <v>0</v>
      </c>
      <c r="DU41" s="1008"/>
      <c r="DV41" s="1008">
        <f t="shared" si="47"/>
        <v>0</v>
      </c>
      <c r="DW41" s="1008">
        <f t="shared" si="47"/>
        <v>0</v>
      </c>
      <c r="DX41" s="1008">
        <f t="shared" si="47"/>
        <v>0</v>
      </c>
      <c r="DY41" s="1008">
        <f t="shared" si="48"/>
        <v>0</v>
      </c>
      <c r="DZ41" s="1008">
        <f t="shared" si="48"/>
        <v>0</v>
      </c>
      <c r="EA41" s="1008">
        <f t="shared" si="48"/>
        <v>0</v>
      </c>
      <c r="EB41" s="1008">
        <f t="shared" si="48"/>
        <v>0</v>
      </c>
      <c r="EC41" s="1008"/>
      <c r="ED41" s="1008">
        <f t="shared" si="49"/>
        <v>0</v>
      </c>
    </row>
    <row r="42" spans="1:134" ht="31.5" customHeight="1" x14ac:dyDescent="0.25">
      <c r="A42" s="1562"/>
      <c r="B42" s="1019"/>
      <c r="C42" s="1116" t="s">
        <v>4373</v>
      </c>
      <c r="D42" s="1019" t="s">
        <v>4606</v>
      </c>
      <c r="E42" s="1020">
        <v>410</v>
      </c>
      <c r="F42" s="1120" t="s">
        <v>4731</v>
      </c>
      <c r="G42" s="1400"/>
      <c r="H42" s="1061">
        <f t="shared" si="31"/>
        <v>46027628</v>
      </c>
      <c r="I42" s="1061">
        <f t="shared" si="32"/>
        <v>14949435</v>
      </c>
      <c r="J42" s="1120" t="s">
        <v>4799</v>
      </c>
      <c r="K42" s="1115" t="s">
        <v>4800</v>
      </c>
      <c r="L42" s="1115" t="s">
        <v>4801</v>
      </c>
      <c r="M42" s="1115">
        <v>0</v>
      </c>
      <c r="N42" s="1115">
        <v>0</v>
      </c>
      <c r="O42" s="1115">
        <v>0</v>
      </c>
      <c r="P42" s="1115">
        <v>3</v>
      </c>
      <c r="Q42" s="1115">
        <v>0</v>
      </c>
      <c r="R42" s="1115">
        <v>0</v>
      </c>
      <c r="S42" s="1120"/>
      <c r="T42" s="1120"/>
      <c r="U42" s="1120"/>
      <c r="V42" s="1120"/>
      <c r="W42" s="1120"/>
      <c r="X42" s="1120"/>
      <c r="Y42" s="1008">
        <f t="shared" si="33"/>
        <v>60977063</v>
      </c>
      <c r="Z42" s="1008"/>
      <c r="AA42" s="1008"/>
      <c r="AB42" s="1008"/>
      <c r="AC42" s="1008"/>
      <c r="AD42" s="1008"/>
      <c r="AE42" s="1008">
        <f>50000000+10000000</f>
        <v>60000000</v>
      </c>
      <c r="AF42" s="1008"/>
      <c r="AG42" s="1008"/>
      <c r="AH42" s="1008"/>
      <c r="AI42" s="1008"/>
      <c r="AJ42" s="1008"/>
      <c r="AK42" s="1008"/>
      <c r="AL42" s="1008"/>
      <c r="AM42" s="1008"/>
      <c r="AN42" s="1008"/>
      <c r="AO42" s="1008"/>
      <c r="AP42" s="1008"/>
      <c r="AQ42" s="1008"/>
      <c r="AR42" s="1008"/>
      <c r="AS42" s="1008">
        <v>977063</v>
      </c>
      <c r="AU42" s="1011">
        <f t="shared" si="3"/>
        <v>0.91837811211077847</v>
      </c>
      <c r="AV42" s="1008">
        <f t="shared" si="34"/>
        <v>56000000</v>
      </c>
      <c r="AW42" s="1008"/>
      <c r="AX42" s="1008"/>
      <c r="AY42" s="1008"/>
      <c r="AZ42" s="1008"/>
      <c r="BA42" s="1008"/>
      <c r="BB42" s="1008">
        <f>+'[18]OCTUBRE 2015'!$O$1641</f>
        <v>56000000</v>
      </c>
      <c r="BC42" s="1008"/>
      <c r="BD42" s="1008"/>
      <c r="BE42" s="1008"/>
      <c r="BF42" s="1008"/>
      <c r="BG42" s="1008"/>
      <c r="BH42" s="1008"/>
      <c r="BI42" s="1008"/>
      <c r="BJ42" s="1008"/>
      <c r="BK42" s="1008"/>
      <c r="BL42" s="1008"/>
      <c r="BM42" s="1008"/>
      <c r="BN42" s="1008"/>
      <c r="BO42" s="1008"/>
      <c r="BP42" s="1008"/>
      <c r="BQ42" s="1011">
        <f t="shared" si="25"/>
        <v>8.1621887889221534E-2</v>
      </c>
      <c r="BR42" s="1008">
        <f t="shared" si="35"/>
        <v>4977063</v>
      </c>
      <c r="BS42" s="1008">
        <f t="shared" si="36"/>
        <v>0</v>
      </c>
      <c r="BT42" s="1008"/>
      <c r="BU42" s="1008">
        <f t="shared" si="37"/>
        <v>0</v>
      </c>
      <c r="BV42" s="1008">
        <f t="shared" si="37"/>
        <v>0</v>
      </c>
      <c r="BW42" s="1008"/>
      <c r="BX42" s="1008">
        <f t="shared" si="38"/>
        <v>4000000</v>
      </c>
      <c r="BY42" s="1008">
        <f t="shared" si="38"/>
        <v>0</v>
      </c>
      <c r="BZ42" s="1008"/>
      <c r="CA42" s="1008">
        <f>+AH42-BE42</f>
        <v>0</v>
      </c>
      <c r="CB42" s="1008">
        <f t="shared" si="39"/>
        <v>0</v>
      </c>
      <c r="CC42" s="1008">
        <f>+AJ42-BG42</f>
        <v>0</v>
      </c>
      <c r="CD42" s="1008">
        <f t="shared" si="40"/>
        <v>0</v>
      </c>
      <c r="CE42" s="1008">
        <f t="shared" si="40"/>
        <v>0</v>
      </c>
      <c r="CF42" s="1008">
        <f t="shared" si="40"/>
        <v>0</v>
      </c>
      <c r="CG42" s="1008">
        <f t="shared" si="40"/>
        <v>0</v>
      </c>
      <c r="CH42" s="1008">
        <f t="shared" si="40"/>
        <v>0</v>
      </c>
      <c r="CI42" s="1008">
        <f t="shared" si="40"/>
        <v>0</v>
      </c>
      <c r="CJ42" s="1008"/>
      <c r="CK42" s="1008"/>
      <c r="CL42" s="1008">
        <f t="shared" si="41"/>
        <v>977063</v>
      </c>
      <c r="CM42" s="1011">
        <f t="shared" si="13"/>
        <v>0.75483510906387863</v>
      </c>
      <c r="CN42" s="1008">
        <f t="shared" si="42"/>
        <v>46027628</v>
      </c>
      <c r="CO42" s="1008"/>
      <c r="CP42" s="1008"/>
      <c r="CQ42" s="1008"/>
      <c r="CR42" s="1008"/>
      <c r="CS42" s="1008"/>
      <c r="CT42" s="1008">
        <f>+'[18]OCTUBRE 2015'!$H$1639</f>
        <v>46027628</v>
      </c>
      <c r="CU42" s="1008"/>
      <c r="CV42" s="1008"/>
      <c r="CW42" s="1008"/>
      <c r="CX42" s="1008"/>
      <c r="CY42" s="1008"/>
      <c r="CZ42" s="1008"/>
      <c r="DA42" s="1008"/>
      <c r="DB42" s="1008"/>
      <c r="DC42" s="1008"/>
      <c r="DD42" s="1008"/>
      <c r="DE42" s="1008"/>
      <c r="DF42" s="1008"/>
      <c r="DG42" s="1008"/>
      <c r="DH42" s="1008"/>
      <c r="DI42" s="1011">
        <f t="shared" si="15"/>
        <v>0.24516489093612137</v>
      </c>
      <c r="DJ42" s="1008">
        <f t="shared" si="43"/>
        <v>14949435</v>
      </c>
      <c r="DK42" s="1008"/>
      <c r="DL42" s="1008"/>
      <c r="DM42" s="1008"/>
      <c r="DN42" s="1008"/>
      <c r="DO42" s="1008"/>
      <c r="DP42" s="1008">
        <f t="shared" si="45"/>
        <v>13972372</v>
      </c>
      <c r="DQ42" s="1008">
        <f t="shared" si="45"/>
        <v>0</v>
      </c>
      <c r="DR42" s="1008"/>
      <c r="DS42" s="1008">
        <f t="shared" si="46"/>
        <v>0</v>
      </c>
      <c r="DT42" s="1008">
        <f t="shared" si="46"/>
        <v>0</v>
      </c>
      <c r="DU42" s="1008"/>
      <c r="DV42" s="1008">
        <f t="shared" si="47"/>
        <v>0</v>
      </c>
      <c r="DW42" s="1008">
        <f t="shared" si="47"/>
        <v>0</v>
      </c>
      <c r="DX42" s="1008">
        <f t="shared" si="47"/>
        <v>0</v>
      </c>
      <c r="DY42" s="1008">
        <f t="shared" si="48"/>
        <v>0</v>
      </c>
      <c r="DZ42" s="1008">
        <f t="shared" si="48"/>
        <v>0</v>
      </c>
      <c r="EA42" s="1008">
        <f t="shared" si="48"/>
        <v>0</v>
      </c>
      <c r="EB42" s="1008">
        <f t="shared" si="48"/>
        <v>0</v>
      </c>
      <c r="EC42" s="1008"/>
      <c r="ED42" s="1008">
        <f t="shared" si="49"/>
        <v>977063</v>
      </c>
    </row>
    <row r="43" spans="1:134" ht="46.5" customHeight="1" x14ac:dyDescent="0.25">
      <c r="A43" s="1562"/>
      <c r="B43" s="1019"/>
      <c r="C43" s="1116" t="s">
        <v>4374</v>
      </c>
      <c r="D43" s="1019" t="s">
        <v>4605</v>
      </c>
      <c r="E43" s="1020">
        <v>410</v>
      </c>
      <c r="F43" s="1120" t="s">
        <v>3350</v>
      </c>
      <c r="G43" s="1401"/>
      <c r="H43" s="1061">
        <f t="shared" si="31"/>
        <v>69890000</v>
      </c>
      <c r="I43" s="1061">
        <f t="shared" si="32"/>
        <v>110000</v>
      </c>
      <c r="J43" s="1120" t="s">
        <v>4802</v>
      </c>
      <c r="K43" s="1115" t="s">
        <v>4804</v>
      </c>
      <c r="L43" s="1115" t="s">
        <v>4803</v>
      </c>
      <c r="M43" s="1115">
        <v>31</v>
      </c>
      <c r="N43" s="1115">
        <v>95</v>
      </c>
      <c r="O43" s="1115">
        <v>30</v>
      </c>
      <c r="P43" s="1115">
        <v>71</v>
      </c>
      <c r="Q43" s="1115">
        <v>585</v>
      </c>
      <c r="R43" s="1115">
        <v>414</v>
      </c>
      <c r="S43" s="1120"/>
      <c r="T43" s="1120"/>
      <c r="U43" s="1120"/>
      <c r="V43" s="1120"/>
      <c r="W43" s="1120"/>
      <c r="X43" s="1120"/>
      <c r="Y43" s="1008">
        <f t="shared" si="33"/>
        <v>70000000</v>
      </c>
      <c r="Z43" s="1008"/>
      <c r="AA43" s="1008"/>
      <c r="AB43" s="1008"/>
      <c r="AC43" s="1008"/>
      <c r="AD43" s="1008"/>
      <c r="AE43" s="1008">
        <f>50000000+20000000</f>
        <v>70000000</v>
      </c>
      <c r="AF43" s="1008"/>
      <c r="AG43" s="1008"/>
      <c r="AH43" s="1008"/>
      <c r="AI43" s="1008"/>
      <c r="AJ43" s="1008"/>
      <c r="AK43" s="1008"/>
      <c r="AL43" s="1008"/>
      <c r="AM43" s="1008"/>
      <c r="AN43" s="1008"/>
      <c r="AO43" s="1008"/>
      <c r="AP43" s="1008"/>
      <c r="AQ43" s="1008"/>
      <c r="AR43" s="1008"/>
      <c r="AS43" s="1008"/>
      <c r="AU43" s="1011">
        <f t="shared" si="3"/>
        <v>0.99842857142857144</v>
      </c>
      <c r="AV43" s="1008">
        <f t="shared" si="34"/>
        <v>69890000</v>
      </c>
      <c r="AW43" s="1008"/>
      <c r="AX43" s="1008"/>
      <c r="AY43" s="1008"/>
      <c r="AZ43" s="1008"/>
      <c r="BA43" s="1008"/>
      <c r="BB43" s="1008">
        <f>+'[18]OCTUBRE 2015'!$O$1664</f>
        <v>69890000</v>
      </c>
      <c r="BC43" s="1008"/>
      <c r="BD43" s="1008"/>
      <c r="BE43" s="1008"/>
      <c r="BF43" s="1008"/>
      <c r="BG43" s="1008"/>
      <c r="BH43" s="1008"/>
      <c r="BI43" s="1008"/>
      <c r="BJ43" s="1008"/>
      <c r="BK43" s="1008"/>
      <c r="BL43" s="1008"/>
      <c r="BM43" s="1008"/>
      <c r="BN43" s="1008"/>
      <c r="BO43" s="1008"/>
      <c r="BP43" s="1008"/>
      <c r="BQ43" s="1011">
        <f t="shared" si="25"/>
        <v>1.571428571428557E-3</v>
      </c>
      <c r="BR43" s="1008">
        <f t="shared" si="35"/>
        <v>110000</v>
      </c>
      <c r="BS43" s="1008">
        <f t="shared" si="36"/>
        <v>0</v>
      </c>
      <c r="BT43" s="1008"/>
      <c r="BU43" s="1008">
        <f t="shared" si="37"/>
        <v>0</v>
      </c>
      <c r="BV43" s="1008">
        <f t="shared" si="37"/>
        <v>0</v>
      </c>
      <c r="BW43" s="1008"/>
      <c r="BX43" s="1008">
        <f t="shared" si="38"/>
        <v>110000</v>
      </c>
      <c r="BY43" s="1008">
        <f t="shared" si="38"/>
        <v>0</v>
      </c>
      <c r="BZ43" s="1008"/>
      <c r="CA43" s="1008"/>
      <c r="CB43" s="1008"/>
      <c r="CC43" s="1008"/>
      <c r="CD43" s="1008">
        <f t="shared" si="40"/>
        <v>0</v>
      </c>
      <c r="CE43" s="1008">
        <f t="shared" si="40"/>
        <v>0</v>
      </c>
      <c r="CF43" s="1008">
        <f t="shared" si="40"/>
        <v>0</v>
      </c>
      <c r="CG43" s="1008">
        <f t="shared" si="40"/>
        <v>0</v>
      </c>
      <c r="CH43" s="1008">
        <f t="shared" si="40"/>
        <v>0</v>
      </c>
      <c r="CI43" s="1008">
        <f t="shared" si="40"/>
        <v>0</v>
      </c>
      <c r="CJ43" s="1008"/>
      <c r="CK43" s="1008"/>
      <c r="CL43" s="1008">
        <f t="shared" si="41"/>
        <v>0</v>
      </c>
      <c r="CM43" s="1011">
        <f t="shared" si="13"/>
        <v>0.99842857142857144</v>
      </c>
      <c r="CN43" s="1008">
        <f t="shared" si="42"/>
        <v>69890000</v>
      </c>
      <c r="CO43" s="1008"/>
      <c r="CP43" s="1008"/>
      <c r="CQ43" s="1008"/>
      <c r="CR43" s="1008"/>
      <c r="CS43" s="1008"/>
      <c r="CT43" s="1008">
        <f>+'[18]OCTUBRE 2015'!$H$1662</f>
        <v>69890000</v>
      </c>
      <c r="CU43" s="1008"/>
      <c r="CV43" s="1008"/>
      <c r="CW43" s="1008"/>
      <c r="CX43" s="1008"/>
      <c r="CY43" s="1008"/>
      <c r="CZ43" s="1008"/>
      <c r="DA43" s="1008"/>
      <c r="DB43" s="1008"/>
      <c r="DC43" s="1008"/>
      <c r="DD43" s="1008"/>
      <c r="DE43" s="1008"/>
      <c r="DF43" s="1008"/>
      <c r="DG43" s="1008"/>
      <c r="DH43" s="1008"/>
      <c r="DI43" s="1011">
        <f t="shared" si="15"/>
        <v>1.571428571428557E-3</v>
      </c>
      <c r="DJ43" s="1008">
        <f t="shared" si="43"/>
        <v>110000</v>
      </c>
      <c r="DK43" s="1008"/>
      <c r="DL43" s="1008"/>
      <c r="DM43" s="1008"/>
      <c r="DN43" s="1008"/>
      <c r="DO43" s="1008"/>
      <c r="DP43" s="1008">
        <f t="shared" si="45"/>
        <v>110000</v>
      </c>
      <c r="DQ43" s="1008">
        <f t="shared" si="45"/>
        <v>0</v>
      </c>
      <c r="DR43" s="1008"/>
      <c r="DS43" s="1008">
        <f t="shared" si="46"/>
        <v>0</v>
      </c>
      <c r="DT43" s="1008">
        <f t="shared" si="46"/>
        <v>0</v>
      </c>
      <c r="DU43" s="1008"/>
      <c r="DV43" s="1008">
        <f t="shared" si="47"/>
        <v>0</v>
      </c>
      <c r="DW43" s="1008">
        <f t="shared" si="47"/>
        <v>0</v>
      </c>
      <c r="DX43" s="1008">
        <f t="shared" si="47"/>
        <v>0</v>
      </c>
      <c r="DY43" s="1008">
        <f t="shared" si="48"/>
        <v>0</v>
      </c>
      <c r="DZ43" s="1008">
        <f t="shared" si="48"/>
        <v>0</v>
      </c>
      <c r="EA43" s="1008">
        <f t="shared" si="48"/>
        <v>0</v>
      </c>
      <c r="EB43" s="1008">
        <f t="shared" si="48"/>
        <v>0</v>
      </c>
      <c r="EC43" s="1008"/>
      <c r="ED43" s="1008">
        <f t="shared" si="49"/>
        <v>0</v>
      </c>
    </row>
    <row r="44" spans="1:134" ht="39" customHeight="1" x14ac:dyDescent="0.25">
      <c r="A44" s="1562"/>
      <c r="B44" s="1028" t="s">
        <v>4309</v>
      </c>
      <c r="C44" s="1116" t="s">
        <v>4376</v>
      </c>
      <c r="D44" s="1019" t="s">
        <v>4320</v>
      </c>
      <c r="E44" s="1133">
        <v>410</v>
      </c>
      <c r="F44" s="1120" t="s">
        <v>3350</v>
      </c>
      <c r="G44" s="1399">
        <v>303000000</v>
      </c>
      <c r="H44" s="1061">
        <f t="shared" si="31"/>
        <v>42007546</v>
      </c>
      <c r="I44" s="1061">
        <f t="shared" si="32"/>
        <v>12415125</v>
      </c>
      <c r="J44" s="1120" t="s">
        <v>4805</v>
      </c>
      <c r="K44" s="1115" t="s">
        <v>4806</v>
      </c>
      <c r="L44" s="1115" t="s">
        <v>4815</v>
      </c>
      <c r="M44" s="1115">
        <v>0</v>
      </c>
      <c r="N44" s="1115">
        <v>21</v>
      </c>
      <c r="O44" s="1115">
        <v>0</v>
      </c>
      <c r="P44" s="1115">
        <v>18</v>
      </c>
      <c r="Q44" s="1115">
        <v>25</v>
      </c>
      <c r="R44" s="1115">
        <v>4</v>
      </c>
      <c r="S44" s="1120"/>
      <c r="T44" s="1120"/>
      <c r="U44" s="1120"/>
      <c r="V44" s="1120"/>
      <c r="W44" s="1120"/>
      <c r="X44" s="1120"/>
      <c r="Y44" s="1008">
        <f t="shared" si="33"/>
        <v>54422671</v>
      </c>
      <c r="Z44" s="1008"/>
      <c r="AA44" s="1008">
        <f>80000000-69189100</f>
        <v>10810900</v>
      </c>
      <c r="AB44" s="1008"/>
      <c r="AC44" s="1008"/>
      <c r="AD44" s="1008"/>
      <c r="AE44" s="1008"/>
      <c r="AF44" s="1008">
        <f>20000000</f>
        <v>20000000</v>
      </c>
      <c r="AG44" s="1008"/>
      <c r="AH44" s="1008"/>
      <c r="AI44" s="1008"/>
      <c r="AJ44" s="1008"/>
      <c r="AK44" s="1008"/>
      <c r="AL44" s="1008"/>
      <c r="AM44" s="1008"/>
      <c r="AN44" s="1008"/>
      <c r="AO44" s="1008">
        <v>23611771</v>
      </c>
      <c r="AP44" s="1008"/>
      <c r="AQ44" s="1008"/>
      <c r="AR44" s="1008"/>
      <c r="AS44" s="1008"/>
      <c r="AU44" s="1011">
        <f t="shared" si="3"/>
        <v>0.97676078779742359</v>
      </c>
      <c r="AV44" s="1008">
        <f t="shared" si="34"/>
        <v>53157931</v>
      </c>
      <c r="AW44" s="1008"/>
      <c r="AX44" s="1008">
        <f>+'[14]JUNIO 2015'!$K$1009</f>
        <v>9546220</v>
      </c>
      <c r="AY44" s="1008"/>
      <c r="AZ44" s="1008"/>
      <c r="BA44" s="1008"/>
      <c r="BB44" s="1008"/>
      <c r="BC44" s="1008">
        <f>+'[14]JUNIO 2015'!$P$1009</f>
        <v>20000000</v>
      </c>
      <c r="BD44" s="1008"/>
      <c r="BE44" s="1008"/>
      <c r="BF44" s="1008"/>
      <c r="BG44" s="1008"/>
      <c r="BH44" s="1008"/>
      <c r="BI44" s="1008"/>
      <c r="BJ44" s="1008"/>
      <c r="BK44" s="1008"/>
      <c r="BL44" s="1008">
        <f>+'[15]JULIO 2015'!$Y$1192</f>
        <v>23611711</v>
      </c>
      <c r="BM44" s="1008"/>
      <c r="BN44" s="1008"/>
      <c r="BO44" s="1008"/>
      <c r="BP44" s="1008"/>
      <c r="BQ44" s="1011">
        <f t="shared" si="25"/>
        <v>2.3239212202576409E-2</v>
      </c>
      <c r="BR44" s="1008">
        <f t="shared" si="35"/>
        <v>1264740</v>
      </c>
      <c r="BS44" s="1008">
        <f t="shared" si="36"/>
        <v>0</v>
      </c>
      <c r="BT44" s="1008">
        <f>AA44-AX44</f>
        <v>1264680</v>
      </c>
      <c r="BU44" s="1008">
        <f t="shared" si="37"/>
        <v>0</v>
      </c>
      <c r="BV44" s="1008">
        <f t="shared" si="37"/>
        <v>0</v>
      </c>
      <c r="BW44" s="1008"/>
      <c r="BX44" s="1008">
        <f t="shared" si="38"/>
        <v>0</v>
      </c>
      <c r="BY44" s="1008">
        <f t="shared" si="38"/>
        <v>0</v>
      </c>
      <c r="BZ44" s="1008"/>
      <c r="CA44" s="1008">
        <f t="shared" ref="CA44:CC48" si="50">+AH44-BE44</f>
        <v>0</v>
      </c>
      <c r="CB44" s="1008">
        <f t="shared" si="50"/>
        <v>0</v>
      </c>
      <c r="CC44" s="1008">
        <f t="shared" si="50"/>
        <v>0</v>
      </c>
      <c r="CD44" s="1008">
        <f t="shared" si="40"/>
        <v>0</v>
      </c>
      <c r="CE44" s="1008">
        <f t="shared" si="40"/>
        <v>0</v>
      </c>
      <c r="CF44" s="1008">
        <f t="shared" si="40"/>
        <v>0</v>
      </c>
      <c r="CG44" s="1008">
        <f t="shared" si="40"/>
        <v>0</v>
      </c>
      <c r="CH44" s="1008">
        <f t="shared" si="40"/>
        <v>60</v>
      </c>
      <c r="CI44" s="1008">
        <f t="shared" si="40"/>
        <v>0</v>
      </c>
      <c r="CJ44" s="1008"/>
      <c r="CK44" s="1008"/>
      <c r="CL44" s="1008">
        <f t="shared" si="41"/>
        <v>0</v>
      </c>
      <c r="CM44" s="1011">
        <f t="shared" si="13"/>
        <v>0.77187586033768907</v>
      </c>
      <c r="CN44" s="1008">
        <f t="shared" si="42"/>
        <v>42007546</v>
      </c>
      <c r="CO44" s="1008"/>
      <c r="CP44" s="1008">
        <f>+'[14]JUNIO 2015'!$H$1010</f>
        <v>9546220</v>
      </c>
      <c r="CQ44" s="1008"/>
      <c r="CR44" s="1008"/>
      <c r="CS44" s="1008"/>
      <c r="CT44" s="1008"/>
      <c r="CU44" s="1008">
        <f>+'[18]OCTUBRE 2015'!$H$1729</f>
        <v>20000000</v>
      </c>
      <c r="CV44" s="1008"/>
      <c r="CW44" s="1008"/>
      <c r="CX44" s="1008"/>
      <c r="CY44" s="1008"/>
      <c r="CZ44" s="1008"/>
      <c r="DA44" s="1008"/>
      <c r="DB44" s="1008"/>
      <c r="DC44" s="1008"/>
      <c r="DD44" s="1008">
        <f>+'[18]OCTUBRE 2015'!$H$1742</f>
        <v>12461326</v>
      </c>
      <c r="DE44" s="1008"/>
      <c r="DF44" s="1008"/>
      <c r="DG44" s="1008"/>
      <c r="DH44" s="1008"/>
      <c r="DI44" s="1011">
        <f t="shared" si="15"/>
        <v>0.22812413966231093</v>
      </c>
      <c r="DJ44" s="1008">
        <f t="shared" si="43"/>
        <v>12415125</v>
      </c>
      <c r="DK44" s="1008"/>
      <c r="DL44" s="1008">
        <f t="shared" ref="DL44:DN58" si="51">AA44-CP44</f>
        <v>1264680</v>
      </c>
      <c r="DM44" s="1008">
        <f t="shared" si="51"/>
        <v>0</v>
      </c>
      <c r="DN44" s="1008">
        <f t="shared" si="51"/>
        <v>0</v>
      </c>
      <c r="DO44" s="1008"/>
      <c r="DP44" s="1008">
        <f t="shared" si="45"/>
        <v>0</v>
      </c>
      <c r="DQ44" s="1008">
        <f t="shared" si="45"/>
        <v>0</v>
      </c>
      <c r="DR44" s="1008"/>
      <c r="DS44" s="1008">
        <f t="shared" si="46"/>
        <v>0</v>
      </c>
      <c r="DT44" s="1008">
        <f t="shared" si="46"/>
        <v>0</v>
      </c>
      <c r="DU44" s="1008"/>
      <c r="DV44" s="1008">
        <f t="shared" si="47"/>
        <v>0</v>
      </c>
      <c r="DW44" s="1008">
        <f t="shared" si="47"/>
        <v>0</v>
      </c>
      <c r="DX44" s="1008">
        <f t="shared" si="47"/>
        <v>0</v>
      </c>
      <c r="DY44" s="1008">
        <f t="shared" si="48"/>
        <v>0</v>
      </c>
      <c r="DZ44" s="1008">
        <f t="shared" si="48"/>
        <v>11150445</v>
      </c>
      <c r="EA44" s="1008">
        <f t="shared" si="48"/>
        <v>0</v>
      </c>
      <c r="EB44" s="1008">
        <f t="shared" si="48"/>
        <v>0</v>
      </c>
      <c r="EC44" s="1008"/>
      <c r="ED44" s="1008">
        <f t="shared" si="49"/>
        <v>0</v>
      </c>
    </row>
    <row r="45" spans="1:134" ht="34.5" customHeight="1" x14ac:dyDescent="0.25">
      <c r="A45" s="1562"/>
      <c r="B45" s="1019"/>
      <c r="C45" s="1116" t="s">
        <v>4377</v>
      </c>
      <c r="D45" s="1131" t="s">
        <v>4321</v>
      </c>
      <c r="E45" s="1020">
        <v>410</v>
      </c>
      <c r="F45" s="1120" t="s">
        <v>3350</v>
      </c>
      <c r="G45" s="1400"/>
      <c r="H45" s="1061">
        <f t="shared" si="31"/>
        <v>38030965</v>
      </c>
      <c r="I45" s="1061">
        <f t="shared" si="32"/>
        <v>9050965</v>
      </c>
      <c r="J45" s="1120" t="s">
        <v>4807</v>
      </c>
      <c r="K45" s="1115" t="s">
        <v>4808</v>
      </c>
      <c r="L45" s="1115" t="s">
        <v>4816</v>
      </c>
      <c r="M45" s="1115">
        <v>0</v>
      </c>
      <c r="N45" s="1115">
        <v>107</v>
      </c>
      <c r="O45" s="1115">
        <v>0</v>
      </c>
      <c r="P45" s="1115">
        <v>4</v>
      </c>
      <c r="Q45" s="1115">
        <v>107</v>
      </c>
      <c r="R45" s="1115">
        <v>5</v>
      </c>
      <c r="S45" s="1120"/>
      <c r="T45" s="1120"/>
      <c r="U45" s="1120"/>
      <c r="V45" s="1120"/>
      <c r="W45" s="1120"/>
      <c r="X45" s="1120"/>
      <c r="Y45" s="1008">
        <f t="shared" si="33"/>
        <v>47081930</v>
      </c>
      <c r="Z45" s="1008"/>
      <c r="AA45" s="1008">
        <f>64000000-61918070</f>
        <v>2081930</v>
      </c>
      <c r="AB45" s="1008"/>
      <c r="AC45" s="1008"/>
      <c r="AD45" s="1008"/>
      <c r="AE45" s="1008"/>
      <c r="AF45" s="1008">
        <f>20000000</f>
        <v>20000000</v>
      </c>
      <c r="AG45" s="1008"/>
      <c r="AH45" s="1008"/>
      <c r="AI45" s="1008"/>
      <c r="AJ45" s="1008"/>
      <c r="AK45" s="1008"/>
      <c r="AL45" s="1008"/>
      <c r="AM45" s="1008"/>
      <c r="AN45" s="1008"/>
      <c r="AO45" s="1008">
        <v>25000000</v>
      </c>
      <c r="AP45" s="1008"/>
      <c r="AQ45" s="1008"/>
      <c r="AR45" s="1008"/>
      <c r="AS45" s="1008"/>
      <c r="AU45" s="1011">
        <f t="shared" si="3"/>
        <v>1</v>
      </c>
      <c r="AV45" s="1008">
        <f t="shared" si="34"/>
        <v>47081930</v>
      </c>
      <c r="AW45" s="1008"/>
      <c r="AX45" s="1008">
        <f>+'[14]JUNIO 2015'!$K$1023</f>
        <v>2081930</v>
      </c>
      <c r="AY45" s="1008"/>
      <c r="AZ45" s="1008"/>
      <c r="BA45" s="1008"/>
      <c r="BB45" s="1008"/>
      <c r="BC45" s="1008">
        <f>+'[14]JUNIO 2015'!$P$1023</f>
        <v>20000000</v>
      </c>
      <c r="BD45" s="1008"/>
      <c r="BE45" s="1008"/>
      <c r="BF45" s="1008"/>
      <c r="BG45" s="1008"/>
      <c r="BH45" s="1008"/>
      <c r="BI45" s="1008"/>
      <c r="BJ45" s="1008"/>
      <c r="BK45" s="1008"/>
      <c r="BL45" s="1008">
        <f>+'[15]JULIO 2015'!$Y$1215</f>
        <v>25000000</v>
      </c>
      <c r="BM45" s="1008"/>
      <c r="BN45" s="1008"/>
      <c r="BO45" s="1008"/>
      <c r="BP45" s="1008"/>
      <c r="BQ45" s="1011">
        <f t="shared" si="25"/>
        <v>0</v>
      </c>
      <c r="BR45" s="1008">
        <f t="shared" si="35"/>
        <v>0</v>
      </c>
      <c r="BS45" s="1008">
        <f t="shared" si="36"/>
        <v>0</v>
      </c>
      <c r="BT45" s="1008">
        <f>AA45-AX45</f>
        <v>0</v>
      </c>
      <c r="BU45" s="1008">
        <f t="shared" si="37"/>
        <v>0</v>
      </c>
      <c r="BV45" s="1008">
        <f t="shared" si="37"/>
        <v>0</v>
      </c>
      <c r="BW45" s="1008"/>
      <c r="BX45" s="1008">
        <f t="shared" si="38"/>
        <v>0</v>
      </c>
      <c r="BY45" s="1008">
        <f t="shared" si="38"/>
        <v>0</v>
      </c>
      <c r="BZ45" s="1008"/>
      <c r="CA45" s="1008">
        <f t="shared" si="50"/>
        <v>0</v>
      </c>
      <c r="CB45" s="1008">
        <f t="shared" si="50"/>
        <v>0</v>
      </c>
      <c r="CC45" s="1008">
        <f t="shared" si="50"/>
        <v>0</v>
      </c>
      <c r="CD45" s="1008">
        <f t="shared" si="40"/>
        <v>0</v>
      </c>
      <c r="CE45" s="1008">
        <f t="shared" si="40"/>
        <v>0</v>
      </c>
      <c r="CF45" s="1008">
        <f t="shared" si="40"/>
        <v>0</v>
      </c>
      <c r="CG45" s="1008">
        <f t="shared" si="40"/>
        <v>0</v>
      </c>
      <c r="CH45" s="1008">
        <f t="shared" si="40"/>
        <v>0</v>
      </c>
      <c r="CI45" s="1008">
        <f t="shared" si="40"/>
        <v>0</v>
      </c>
      <c r="CJ45" s="1008"/>
      <c r="CK45" s="1008"/>
      <c r="CL45" s="1008">
        <f t="shared" si="41"/>
        <v>0</v>
      </c>
      <c r="CM45" s="1011">
        <f t="shared" si="13"/>
        <v>0.80776138531279407</v>
      </c>
      <c r="CN45" s="1008">
        <f t="shared" si="42"/>
        <v>38030965</v>
      </c>
      <c r="CO45" s="1008"/>
      <c r="CP45" s="1008">
        <f>+'[12]MAYO 2015'!$H$858</f>
        <v>2081930</v>
      </c>
      <c r="CQ45" s="1008"/>
      <c r="CR45" s="1008"/>
      <c r="CS45" s="1008"/>
      <c r="CT45" s="1008"/>
      <c r="CU45" s="1008">
        <f>+'[17]SEPTIEMBRE 2015'!$H$1555</f>
        <v>20000000</v>
      </c>
      <c r="CV45" s="1008"/>
      <c r="CW45" s="1008"/>
      <c r="CX45" s="1008"/>
      <c r="CY45" s="1008"/>
      <c r="CZ45" s="1008"/>
      <c r="DA45" s="1008"/>
      <c r="DB45" s="1008"/>
      <c r="DC45" s="1008"/>
      <c r="DD45" s="1008">
        <f>+'[18]OCTUBRE 2015'!$H$1784</f>
        <v>15949035</v>
      </c>
      <c r="DE45" s="1008"/>
      <c r="DF45" s="1008"/>
      <c r="DG45" s="1008"/>
      <c r="DH45" s="1008"/>
      <c r="DI45" s="1011">
        <f t="shared" si="15"/>
        <v>0.19223861468720593</v>
      </c>
      <c r="DJ45" s="1008">
        <f t="shared" si="43"/>
        <v>9050965</v>
      </c>
      <c r="DK45" s="1008"/>
      <c r="DL45" s="1008">
        <f t="shared" si="51"/>
        <v>0</v>
      </c>
      <c r="DM45" s="1008">
        <f t="shared" si="51"/>
        <v>0</v>
      </c>
      <c r="DN45" s="1008">
        <f t="shared" si="51"/>
        <v>0</v>
      </c>
      <c r="DO45" s="1008"/>
      <c r="DP45" s="1008">
        <f t="shared" si="45"/>
        <v>0</v>
      </c>
      <c r="DQ45" s="1008">
        <f t="shared" si="45"/>
        <v>0</v>
      </c>
      <c r="DR45" s="1008"/>
      <c r="DS45" s="1008">
        <f t="shared" si="46"/>
        <v>0</v>
      </c>
      <c r="DT45" s="1008">
        <f t="shared" si="46"/>
        <v>0</v>
      </c>
      <c r="DU45" s="1008"/>
      <c r="DV45" s="1008">
        <f t="shared" si="47"/>
        <v>0</v>
      </c>
      <c r="DW45" s="1008">
        <f t="shared" si="47"/>
        <v>0</v>
      </c>
      <c r="DX45" s="1008">
        <f t="shared" si="47"/>
        <v>0</v>
      </c>
      <c r="DY45" s="1008">
        <f t="shared" si="48"/>
        <v>0</v>
      </c>
      <c r="DZ45" s="1008">
        <f t="shared" si="48"/>
        <v>9050965</v>
      </c>
      <c r="EA45" s="1008">
        <f t="shared" si="48"/>
        <v>0</v>
      </c>
      <c r="EB45" s="1008">
        <f t="shared" si="48"/>
        <v>0</v>
      </c>
      <c r="EC45" s="1008"/>
      <c r="ED45" s="1008">
        <f t="shared" si="49"/>
        <v>0</v>
      </c>
    </row>
    <row r="46" spans="1:134" ht="48" customHeight="1" x14ac:dyDescent="0.25">
      <c r="A46" s="1562"/>
      <c r="B46" s="1019"/>
      <c r="C46" s="1116" t="s">
        <v>4378</v>
      </c>
      <c r="D46" s="1019" t="s">
        <v>4322</v>
      </c>
      <c r="E46" s="1020">
        <v>410</v>
      </c>
      <c r="F46" s="1120" t="s">
        <v>4670</v>
      </c>
      <c r="G46" s="1400"/>
      <c r="H46" s="1061">
        <f t="shared" si="31"/>
        <v>6992750</v>
      </c>
      <c r="I46" s="1061">
        <f t="shared" si="32"/>
        <v>1007250</v>
      </c>
      <c r="J46" s="1120" t="s">
        <v>4809</v>
      </c>
      <c r="K46" s="1115" t="s">
        <v>4810</v>
      </c>
      <c r="L46" s="1115" t="s">
        <v>4817</v>
      </c>
      <c r="M46" s="1115">
        <v>17</v>
      </c>
      <c r="N46" s="1115">
        <v>20</v>
      </c>
      <c r="O46" s="1115">
        <v>3</v>
      </c>
      <c r="P46" s="1115">
        <v>31</v>
      </c>
      <c r="Q46" s="1115">
        <v>45</v>
      </c>
      <c r="R46" s="1115">
        <v>14</v>
      </c>
      <c r="S46" s="1120"/>
      <c r="T46" s="1120"/>
      <c r="U46" s="1120"/>
      <c r="V46" s="1120"/>
      <c r="W46" s="1120"/>
      <c r="X46" s="1120"/>
      <c r="Y46" s="1008">
        <f t="shared" si="33"/>
        <v>8000000</v>
      </c>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f>3000000+5000000</f>
        <v>8000000</v>
      </c>
      <c r="AU46" s="1011">
        <f t="shared" si="3"/>
        <v>1</v>
      </c>
      <c r="AV46" s="1008">
        <f t="shared" si="34"/>
        <v>8000000</v>
      </c>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f>+'[15]JULIO 2015'!$G$1233</f>
        <v>8000000</v>
      </c>
      <c r="BQ46" s="1011">
        <f t="shared" si="25"/>
        <v>0</v>
      </c>
      <c r="BR46" s="1008">
        <f t="shared" si="35"/>
        <v>0</v>
      </c>
      <c r="BS46" s="1008">
        <f t="shared" si="36"/>
        <v>0</v>
      </c>
      <c r="BT46" s="1008"/>
      <c r="BU46" s="1008">
        <f t="shared" si="37"/>
        <v>0</v>
      </c>
      <c r="BV46" s="1008">
        <f t="shared" si="37"/>
        <v>0</v>
      </c>
      <c r="BW46" s="1008"/>
      <c r="BX46" s="1008">
        <f t="shared" si="38"/>
        <v>0</v>
      </c>
      <c r="BY46" s="1008">
        <f t="shared" si="38"/>
        <v>0</v>
      </c>
      <c r="BZ46" s="1008"/>
      <c r="CA46" s="1008">
        <f t="shared" si="50"/>
        <v>0</v>
      </c>
      <c r="CB46" s="1008">
        <f t="shared" si="50"/>
        <v>0</v>
      </c>
      <c r="CC46" s="1008">
        <f t="shared" si="50"/>
        <v>0</v>
      </c>
      <c r="CD46" s="1008">
        <f t="shared" si="40"/>
        <v>0</v>
      </c>
      <c r="CE46" s="1008">
        <f t="shared" si="40"/>
        <v>0</v>
      </c>
      <c r="CF46" s="1008">
        <f t="shared" si="40"/>
        <v>0</v>
      </c>
      <c r="CG46" s="1008">
        <f t="shared" si="40"/>
        <v>0</v>
      </c>
      <c r="CH46" s="1008">
        <f t="shared" si="40"/>
        <v>0</v>
      </c>
      <c r="CI46" s="1008">
        <f t="shared" si="40"/>
        <v>0</v>
      </c>
      <c r="CJ46" s="1008"/>
      <c r="CK46" s="1008"/>
      <c r="CL46" s="1008">
        <f t="shared" si="41"/>
        <v>0</v>
      </c>
      <c r="CM46" s="1011">
        <f t="shared" si="13"/>
        <v>0.87409375</v>
      </c>
      <c r="CN46" s="1008">
        <f t="shared" si="42"/>
        <v>6992750</v>
      </c>
      <c r="CO46" s="1008"/>
      <c r="CP46" s="1008"/>
      <c r="CQ46" s="1008"/>
      <c r="CR46" s="1008"/>
      <c r="CS46" s="1008"/>
      <c r="CT46" s="1008"/>
      <c r="CU46" s="1008"/>
      <c r="CV46" s="1008"/>
      <c r="CW46" s="1008"/>
      <c r="CX46" s="1008"/>
      <c r="CY46" s="1008"/>
      <c r="CZ46" s="1008"/>
      <c r="DA46" s="1008"/>
      <c r="DB46" s="1008"/>
      <c r="DC46" s="1008"/>
      <c r="DD46" s="1008"/>
      <c r="DE46" s="1008"/>
      <c r="DF46" s="1008"/>
      <c r="DG46" s="1008"/>
      <c r="DH46" s="1008">
        <f>+'[18]OCTUBRE 2015'!$H$1804</f>
        <v>6992750</v>
      </c>
      <c r="DI46" s="1011">
        <f t="shared" si="15"/>
        <v>0.12590625</v>
      </c>
      <c r="DJ46" s="1008">
        <f t="shared" si="43"/>
        <v>1007250</v>
      </c>
      <c r="DK46" s="1008"/>
      <c r="DL46" s="1008"/>
      <c r="DM46" s="1008"/>
      <c r="DN46" s="1008">
        <f t="shared" si="51"/>
        <v>0</v>
      </c>
      <c r="DO46" s="1008"/>
      <c r="DP46" s="1008">
        <f t="shared" si="45"/>
        <v>0</v>
      </c>
      <c r="DQ46" s="1008">
        <f t="shared" si="45"/>
        <v>0</v>
      </c>
      <c r="DR46" s="1008"/>
      <c r="DS46" s="1008">
        <f t="shared" si="46"/>
        <v>0</v>
      </c>
      <c r="DT46" s="1008">
        <f t="shared" si="46"/>
        <v>0</v>
      </c>
      <c r="DU46" s="1008"/>
      <c r="DV46" s="1008">
        <f t="shared" si="47"/>
        <v>0</v>
      </c>
      <c r="DW46" s="1008">
        <f t="shared" si="47"/>
        <v>0</v>
      </c>
      <c r="DX46" s="1008">
        <f t="shared" si="47"/>
        <v>0</v>
      </c>
      <c r="DY46" s="1008">
        <f t="shared" si="48"/>
        <v>0</v>
      </c>
      <c r="DZ46" s="1008">
        <f t="shared" si="48"/>
        <v>0</v>
      </c>
      <c r="EA46" s="1008">
        <f t="shared" si="48"/>
        <v>0</v>
      </c>
      <c r="EB46" s="1008">
        <f t="shared" si="48"/>
        <v>0</v>
      </c>
      <c r="EC46" s="1008"/>
      <c r="ED46" s="1008">
        <f t="shared" si="49"/>
        <v>1007250</v>
      </c>
    </row>
    <row r="47" spans="1:134" ht="51" customHeight="1" x14ac:dyDescent="0.25">
      <c r="A47" s="1562"/>
      <c r="B47" s="1019"/>
      <c r="C47" s="1116" t="s">
        <v>4379</v>
      </c>
      <c r="D47" s="1019" t="s">
        <v>4323</v>
      </c>
      <c r="E47" s="1020">
        <v>410</v>
      </c>
      <c r="F47" s="1120" t="s">
        <v>3350</v>
      </c>
      <c r="G47" s="1401"/>
      <c r="H47" s="1061">
        <f t="shared" si="31"/>
        <v>115610666</v>
      </c>
      <c r="I47" s="1061">
        <f t="shared" si="32"/>
        <v>30389334</v>
      </c>
      <c r="J47" s="1120" t="s">
        <v>4825</v>
      </c>
      <c r="K47" s="1115" t="s">
        <v>4825</v>
      </c>
      <c r="L47" s="1115" t="s">
        <v>4825</v>
      </c>
      <c r="M47" s="1115">
        <v>67</v>
      </c>
      <c r="N47" s="1115">
        <v>500</v>
      </c>
      <c r="O47" s="1115">
        <v>337</v>
      </c>
      <c r="P47" s="1132">
        <v>94</v>
      </c>
      <c r="Q47" s="1132">
        <v>650</v>
      </c>
      <c r="R47" s="1132">
        <v>613</v>
      </c>
      <c r="S47" s="1120"/>
      <c r="T47" s="1120"/>
      <c r="U47" s="1120"/>
      <c r="V47" s="1120"/>
      <c r="W47" s="1120"/>
      <c r="X47" s="1120"/>
      <c r="Y47" s="1008">
        <f t="shared" si="33"/>
        <v>146000000</v>
      </c>
      <c r="Z47" s="1008"/>
      <c r="AA47" s="1008">
        <f>98670877-98670877</f>
        <v>0</v>
      </c>
      <c r="AB47" s="1008">
        <v>98670877</v>
      </c>
      <c r="AC47" s="1008"/>
      <c r="AD47" s="1008"/>
      <c r="AE47" s="1008"/>
      <c r="AF47" s="1008"/>
      <c r="AG47" s="1008"/>
      <c r="AH47" s="1008"/>
      <c r="AI47" s="1008"/>
      <c r="AJ47" s="1008"/>
      <c r="AK47" s="1008"/>
      <c r="AL47" s="1008"/>
      <c r="AM47" s="1008">
        <f>57329123-10000000</f>
        <v>47329123</v>
      </c>
      <c r="AN47" s="1008"/>
      <c r="AO47" s="1008"/>
      <c r="AP47" s="1008"/>
      <c r="AQ47" s="1008"/>
      <c r="AR47" s="1008"/>
      <c r="AS47" s="1008"/>
      <c r="AU47" s="1011">
        <f t="shared" si="3"/>
        <v>0.81301369863013695</v>
      </c>
      <c r="AV47" s="1008">
        <f t="shared" si="34"/>
        <v>118700000</v>
      </c>
      <c r="AW47" s="1008"/>
      <c r="AX47" s="1008"/>
      <c r="AY47" s="1008">
        <f>+'[18]OCTUBRE 2015'!$L$1822</f>
        <v>71370877</v>
      </c>
      <c r="AZ47" s="1008"/>
      <c r="BA47" s="1008"/>
      <c r="BB47" s="1008"/>
      <c r="BC47" s="1008"/>
      <c r="BD47" s="1008"/>
      <c r="BE47" s="1008"/>
      <c r="BF47" s="1008"/>
      <c r="BG47" s="1008"/>
      <c r="BH47" s="1008"/>
      <c r="BI47" s="1008"/>
      <c r="BJ47" s="1008">
        <f>+'[10]MARZO 2015'!$V$700-10000000</f>
        <v>47329123</v>
      </c>
      <c r="BK47" s="1008"/>
      <c r="BL47" s="1008"/>
      <c r="BM47" s="1008"/>
      <c r="BN47" s="1008"/>
      <c r="BO47" s="1008"/>
      <c r="BP47" s="1008"/>
      <c r="BQ47" s="1011">
        <f t="shared" si="25"/>
        <v>0.18698630136986305</v>
      </c>
      <c r="BR47" s="1008">
        <f t="shared" si="35"/>
        <v>27300000</v>
      </c>
      <c r="BS47" s="1008">
        <f t="shared" si="36"/>
        <v>0</v>
      </c>
      <c r="BT47" s="1008">
        <f t="shared" ref="BT47:BV62" si="52">AA47-AX47</f>
        <v>0</v>
      </c>
      <c r="BU47" s="1008">
        <f t="shared" si="37"/>
        <v>27300000</v>
      </c>
      <c r="BV47" s="1008">
        <f t="shared" si="37"/>
        <v>0</v>
      </c>
      <c r="BW47" s="1008"/>
      <c r="BX47" s="1008">
        <f t="shared" si="38"/>
        <v>0</v>
      </c>
      <c r="BY47" s="1008">
        <f t="shared" si="38"/>
        <v>0</v>
      </c>
      <c r="BZ47" s="1008"/>
      <c r="CA47" s="1008">
        <f t="shared" si="50"/>
        <v>0</v>
      </c>
      <c r="CB47" s="1008">
        <f t="shared" si="50"/>
        <v>0</v>
      </c>
      <c r="CC47" s="1008">
        <f t="shared" si="50"/>
        <v>0</v>
      </c>
      <c r="CD47" s="1008">
        <f t="shared" si="40"/>
        <v>0</v>
      </c>
      <c r="CE47" s="1008">
        <f t="shared" si="40"/>
        <v>0</v>
      </c>
      <c r="CF47" s="1008">
        <f t="shared" si="40"/>
        <v>0</v>
      </c>
      <c r="CG47" s="1008">
        <f t="shared" si="40"/>
        <v>0</v>
      </c>
      <c r="CH47" s="1008">
        <f t="shared" si="40"/>
        <v>0</v>
      </c>
      <c r="CI47" s="1008">
        <f t="shared" si="40"/>
        <v>0</v>
      </c>
      <c r="CJ47" s="1008"/>
      <c r="CK47" s="1008"/>
      <c r="CL47" s="1008">
        <f t="shared" si="41"/>
        <v>0</v>
      </c>
      <c r="CM47" s="1011">
        <f t="shared" si="13"/>
        <v>0.79185387671232876</v>
      </c>
      <c r="CN47" s="1008">
        <f t="shared" si="42"/>
        <v>115610666</v>
      </c>
      <c r="CO47" s="1008"/>
      <c r="CP47" s="1008"/>
      <c r="CQ47" s="1008">
        <f>+'[18]OCTUBRE 2015'!$H$1823</f>
        <v>71370877</v>
      </c>
      <c r="CR47" s="1008"/>
      <c r="CS47" s="1008"/>
      <c r="CT47" s="1008"/>
      <c r="CU47" s="1008"/>
      <c r="CV47" s="1008"/>
      <c r="CW47" s="1008"/>
      <c r="CX47" s="1008"/>
      <c r="CY47" s="1008"/>
      <c r="CZ47" s="1008"/>
      <c r="DA47" s="1008"/>
      <c r="DB47" s="1008">
        <f>+'[18]OCTUBRE 2015'!$H$1833</f>
        <v>44239789</v>
      </c>
      <c r="DC47" s="1008"/>
      <c r="DD47" s="1008"/>
      <c r="DE47" s="1008"/>
      <c r="DF47" s="1008"/>
      <c r="DG47" s="1008"/>
      <c r="DH47" s="1008"/>
      <c r="DI47" s="1011">
        <f t="shared" si="15"/>
        <v>0.20814612328767124</v>
      </c>
      <c r="DJ47" s="1008">
        <f t="shared" si="43"/>
        <v>30389334</v>
      </c>
      <c r="DK47" s="1008"/>
      <c r="DL47" s="1008">
        <f t="shared" ref="DL47:DM49" si="53">AA47-CP47</f>
        <v>0</v>
      </c>
      <c r="DM47" s="1008">
        <f t="shared" si="53"/>
        <v>27300000</v>
      </c>
      <c r="DN47" s="1008">
        <f t="shared" si="51"/>
        <v>0</v>
      </c>
      <c r="DO47" s="1008"/>
      <c r="DP47" s="1008">
        <f t="shared" si="45"/>
        <v>0</v>
      </c>
      <c r="DQ47" s="1008">
        <f t="shared" si="45"/>
        <v>0</v>
      </c>
      <c r="DR47" s="1008"/>
      <c r="DS47" s="1008">
        <f t="shared" si="46"/>
        <v>0</v>
      </c>
      <c r="DT47" s="1008">
        <f t="shared" si="46"/>
        <v>0</v>
      </c>
      <c r="DU47" s="1008"/>
      <c r="DV47" s="1008">
        <f t="shared" si="47"/>
        <v>0</v>
      </c>
      <c r="DW47" s="1008">
        <f t="shared" si="47"/>
        <v>0</v>
      </c>
      <c r="DX47" s="1008">
        <f t="shared" si="47"/>
        <v>3089334</v>
      </c>
      <c r="DY47" s="1008">
        <f t="shared" si="48"/>
        <v>0</v>
      </c>
      <c r="DZ47" s="1008">
        <f t="shared" si="48"/>
        <v>0</v>
      </c>
      <c r="EA47" s="1008">
        <f t="shared" si="48"/>
        <v>0</v>
      </c>
      <c r="EB47" s="1008">
        <f t="shared" si="48"/>
        <v>0</v>
      </c>
      <c r="EC47" s="1008"/>
      <c r="ED47" s="1008">
        <f t="shared" si="49"/>
        <v>0</v>
      </c>
    </row>
    <row r="48" spans="1:134" ht="35.25" customHeight="1" x14ac:dyDescent="0.25">
      <c r="A48" s="1562"/>
      <c r="B48" s="1019" t="s">
        <v>4310</v>
      </c>
      <c r="C48" s="1116" t="s">
        <v>4380</v>
      </c>
      <c r="D48" s="1019" t="s">
        <v>4608</v>
      </c>
      <c r="E48" s="1020">
        <v>410</v>
      </c>
      <c r="F48" s="1120" t="s">
        <v>3350</v>
      </c>
      <c r="G48" s="1399">
        <v>1150000000</v>
      </c>
      <c r="H48" s="1061">
        <f t="shared" si="31"/>
        <v>510077537</v>
      </c>
      <c r="I48" s="1061">
        <f t="shared" si="32"/>
        <v>104803463</v>
      </c>
      <c r="J48" s="1399" t="s">
        <v>4811</v>
      </c>
      <c r="K48" s="1283" t="s">
        <v>4812</v>
      </c>
      <c r="L48" s="1283" t="s">
        <v>4818</v>
      </c>
      <c r="M48" s="1115">
        <v>6</v>
      </c>
      <c r="N48" s="1115">
        <v>112</v>
      </c>
      <c r="O48" s="1115">
        <v>7</v>
      </c>
      <c r="P48" s="1115">
        <v>42</v>
      </c>
      <c r="Q48" s="1115">
        <v>132</v>
      </c>
      <c r="R48" s="1115">
        <v>55</v>
      </c>
      <c r="S48" s="1120"/>
      <c r="T48" s="1120"/>
      <c r="U48" s="1120"/>
      <c r="V48" s="1120"/>
      <c r="W48" s="1120"/>
      <c r="X48" s="1120"/>
      <c r="Y48" s="1052">
        <f t="shared" si="33"/>
        <v>614881000</v>
      </c>
      <c r="Z48" s="944"/>
      <c r="AA48" s="1008">
        <f>420000000-415119000</f>
        <v>4881000</v>
      </c>
      <c r="AB48" s="1008"/>
      <c r="AC48" s="1008"/>
      <c r="AD48" s="1008"/>
      <c r="AE48" s="1008">
        <f>30000000+30000000+10000000+20000000</f>
        <v>90000000</v>
      </c>
      <c r="AF48" s="1008">
        <f>5000000+10000000</f>
        <v>15000000</v>
      </c>
      <c r="AG48" s="1008">
        <v>102810569</v>
      </c>
      <c r="AH48" s="1008">
        <v>219471348</v>
      </c>
      <c r="AI48" s="1008"/>
      <c r="AJ48" s="1008"/>
      <c r="AK48" s="1008"/>
      <c r="AL48" s="1008"/>
      <c r="AM48" s="1008">
        <f>10000000</f>
        <v>10000000</v>
      </c>
      <c r="AN48" s="1008">
        <f>82718083+10000000+20000000+10000000</f>
        <v>122718083</v>
      </c>
      <c r="AO48" s="1008">
        <f>30000000+10000000+10000000</f>
        <v>50000000</v>
      </c>
      <c r="AP48" s="1008"/>
      <c r="AQ48" s="1008"/>
      <c r="AR48" s="1008"/>
      <c r="AS48" s="1008"/>
      <c r="AU48" s="1011">
        <f t="shared" si="3"/>
        <v>1</v>
      </c>
      <c r="AV48" s="1008">
        <f t="shared" si="34"/>
        <v>614881000</v>
      </c>
      <c r="AW48" s="1008"/>
      <c r="AX48" s="1008">
        <f>+'[14]JUNIO 2015'!$K$1062</f>
        <v>4881000</v>
      </c>
      <c r="AY48" s="1008"/>
      <c r="AZ48" s="1008"/>
      <c r="BA48" s="1008"/>
      <c r="BB48" s="1008">
        <f>+'[14]JUNIO 2015'!$O$1062</f>
        <v>90000000</v>
      </c>
      <c r="BC48" s="1008">
        <f>+'[14]JUNIO 2015'!$P$1062</f>
        <v>15000000</v>
      </c>
      <c r="BD48" s="1008">
        <f>+'[8]FEBRERO 2015'!$P$585</f>
        <v>102810569</v>
      </c>
      <c r="BE48" s="1008">
        <f>+'[8]FEBRERO 2015'!$Q$585</f>
        <v>219471348</v>
      </c>
      <c r="BF48" s="1008"/>
      <c r="BG48" s="1008"/>
      <c r="BH48" s="1008"/>
      <c r="BI48" s="1008"/>
      <c r="BJ48" s="1008">
        <f>+'[14]JUNIO 2015'!$W$1062</f>
        <v>10000000</v>
      </c>
      <c r="BK48" s="1008">
        <f>+'[14]JUNIO 2015'!$X$1062</f>
        <v>122718083</v>
      </c>
      <c r="BL48" s="1008">
        <f>+'[14]JUNIO 2015'!$Y$1062</f>
        <v>50000000</v>
      </c>
      <c r="BM48" s="1008"/>
      <c r="BN48" s="1008"/>
      <c r="BO48" s="1008"/>
      <c r="BP48" s="1008"/>
      <c r="BQ48" s="1011">
        <f t="shared" si="25"/>
        <v>0</v>
      </c>
      <c r="BR48" s="1008">
        <f t="shared" si="35"/>
        <v>0</v>
      </c>
      <c r="BS48" s="1008">
        <f t="shared" si="36"/>
        <v>0</v>
      </c>
      <c r="BT48" s="1008">
        <f t="shared" si="52"/>
        <v>0</v>
      </c>
      <c r="BU48" s="1008">
        <f t="shared" si="37"/>
        <v>0</v>
      </c>
      <c r="BV48" s="1008">
        <f t="shared" si="37"/>
        <v>0</v>
      </c>
      <c r="BW48" s="1008"/>
      <c r="BX48" s="1008">
        <f t="shared" si="38"/>
        <v>0</v>
      </c>
      <c r="BY48" s="1008">
        <f t="shared" si="38"/>
        <v>0</v>
      </c>
      <c r="BZ48" s="1008">
        <f>+AG48-BD48</f>
        <v>0</v>
      </c>
      <c r="CA48" s="1008">
        <f t="shared" si="50"/>
        <v>0</v>
      </c>
      <c r="CB48" s="1008">
        <f t="shared" si="50"/>
        <v>0</v>
      </c>
      <c r="CC48" s="1008">
        <f t="shared" si="50"/>
        <v>0</v>
      </c>
      <c r="CD48" s="1008">
        <f t="shared" si="40"/>
        <v>0</v>
      </c>
      <c r="CE48" s="1008">
        <f t="shared" si="40"/>
        <v>0</v>
      </c>
      <c r="CF48" s="1008">
        <f t="shared" si="40"/>
        <v>0</v>
      </c>
      <c r="CG48" s="1008">
        <f t="shared" si="40"/>
        <v>0</v>
      </c>
      <c r="CH48" s="1008">
        <f t="shared" si="40"/>
        <v>0</v>
      </c>
      <c r="CI48" s="1008">
        <f t="shared" si="40"/>
        <v>0</v>
      </c>
      <c r="CJ48" s="1008"/>
      <c r="CK48" s="1008"/>
      <c r="CL48" s="1008">
        <f t="shared" si="41"/>
        <v>0</v>
      </c>
      <c r="CM48" s="1011">
        <f t="shared" si="13"/>
        <v>0.82955488460368754</v>
      </c>
      <c r="CN48" s="1008">
        <f t="shared" si="42"/>
        <v>510077537</v>
      </c>
      <c r="CO48" s="1008"/>
      <c r="CP48" s="1008">
        <f>+'[16]AGOSTO 2015'!$H$1429+'[16]AGOSTO 2015'!$H$1430</f>
        <v>4881000</v>
      </c>
      <c r="CQ48" s="1008"/>
      <c r="CR48" s="1008"/>
      <c r="CS48" s="1008"/>
      <c r="CT48" s="1008">
        <f>+'[18]OCTUBRE 2015'!$H$1951</f>
        <v>87185148</v>
      </c>
      <c r="CU48" s="1008">
        <f>+'[17]SEPTIEMBRE 2015'!$H$1790</f>
        <v>15000000</v>
      </c>
      <c r="CV48" s="1008">
        <f>+'[14]JUNIO 2015'!$H$1093</f>
        <v>102810569</v>
      </c>
      <c r="CW48" s="1008">
        <f>+'[17]SEPTIEMBRE 2015'!$H$1680</f>
        <v>129471348</v>
      </c>
      <c r="CX48" s="1008"/>
      <c r="CY48" s="1008"/>
      <c r="CZ48" s="1008"/>
      <c r="DA48" s="1008"/>
      <c r="DB48" s="1008">
        <f>+'[18]OCTUBRE 2015'!$H$2005</f>
        <v>10000000</v>
      </c>
      <c r="DC48" s="1008">
        <f>+'[18]OCTUBRE 2015'!$H$1848+'[18]OCTUBRE 2015'!$H$1989</f>
        <v>110729472</v>
      </c>
      <c r="DD48" s="1008">
        <f>+'[18]OCTUBRE 2015'!$H$2010</f>
        <v>50000000</v>
      </c>
      <c r="DE48" s="1008"/>
      <c r="DF48" s="1008"/>
      <c r="DG48" s="1008"/>
      <c r="DH48" s="1008"/>
      <c r="DI48" s="1011">
        <f t="shared" si="15"/>
        <v>0.17044511539631246</v>
      </c>
      <c r="DJ48" s="1008">
        <f t="shared" si="43"/>
        <v>104803463</v>
      </c>
      <c r="DK48" s="1008"/>
      <c r="DL48" s="1008">
        <f t="shared" si="53"/>
        <v>0</v>
      </c>
      <c r="DM48" s="1008">
        <f t="shared" si="53"/>
        <v>0</v>
      </c>
      <c r="DN48" s="1008">
        <f t="shared" si="51"/>
        <v>0</v>
      </c>
      <c r="DO48" s="1008"/>
      <c r="DP48" s="1008">
        <f t="shared" si="45"/>
        <v>2814852</v>
      </c>
      <c r="DQ48" s="1008">
        <f t="shared" si="45"/>
        <v>0</v>
      </c>
      <c r="DR48" s="1008">
        <f>AG48-CV48</f>
        <v>0</v>
      </c>
      <c r="DS48" s="1008">
        <f t="shared" si="46"/>
        <v>90000000</v>
      </c>
      <c r="DT48" s="1008">
        <f t="shared" si="46"/>
        <v>0</v>
      </c>
      <c r="DU48" s="1008"/>
      <c r="DV48" s="1008">
        <f t="shared" si="47"/>
        <v>0</v>
      </c>
      <c r="DW48" s="1008">
        <f t="shared" si="47"/>
        <v>0</v>
      </c>
      <c r="DX48" s="1008">
        <f t="shared" si="47"/>
        <v>0</v>
      </c>
      <c r="DY48" s="1008">
        <f t="shared" si="48"/>
        <v>11988611</v>
      </c>
      <c r="DZ48" s="1008">
        <f t="shared" si="48"/>
        <v>0</v>
      </c>
      <c r="EA48" s="1008">
        <f t="shared" si="48"/>
        <v>0</v>
      </c>
      <c r="EB48" s="1008">
        <f t="shared" si="48"/>
        <v>0</v>
      </c>
      <c r="EC48" s="1008"/>
      <c r="ED48" s="1008">
        <f t="shared" si="49"/>
        <v>0</v>
      </c>
    </row>
    <row r="49" spans="1:135" ht="33.75" customHeight="1" x14ac:dyDescent="0.25">
      <c r="A49" s="1562"/>
      <c r="B49" s="1019"/>
      <c r="C49" s="1116" t="s">
        <v>4381</v>
      </c>
      <c r="D49" s="1019" t="s">
        <v>4609</v>
      </c>
      <c r="E49" s="1020">
        <v>410</v>
      </c>
      <c r="F49" s="1120" t="s">
        <v>3350</v>
      </c>
      <c r="G49" s="1400"/>
      <c r="H49" s="1061">
        <f t="shared" si="31"/>
        <v>14050000</v>
      </c>
      <c r="I49" s="1061">
        <f t="shared" si="32"/>
        <v>5950000</v>
      </c>
      <c r="J49" s="1401"/>
      <c r="K49" s="1284"/>
      <c r="L49" s="1284"/>
      <c r="M49" s="1115">
        <v>93</v>
      </c>
      <c r="N49" s="1115">
        <v>100</v>
      </c>
      <c r="O49" s="1115">
        <v>93</v>
      </c>
      <c r="P49" s="1115">
        <v>93</v>
      </c>
      <c r="Q49" s="1115">
        <v>100</v>
      </c>
      <c r="R49" s="1115">
        <v>93</v>
      </c>
      <c r="S49" s="1120"/>
      <c r="T49" s="1120"/>
      <c r="U49" s="1120"/>
      <c r="V49" s="1120"/>
      <c r="W49" s="1120"/>
      <c r="X49" s="1120"/>
      <c r="Y49" s="1008">
        <f t="shared" si="33"/>
        <v>20000000</v>
      </c>
      <c r="Z49" s="944"/>
      <c r="AA49" s="1008">
        <f>20000000-18055657-1450000</f>
        <v>494343</v>
      </c>
      <c r="AB49" s="1008">
        <v>18055657</v>
      </c>
      <c r="AC49" s="1008"/>
      <c r="AD49" s="1008"/>
      <c r="AE49" s="1008"/>
      <c r="AF49" s="1008"/>
      <c r="AG49" s="1008"/>
      <c r="AH49" s="1008"/>
      <c r="AI49" s="1008"/>
      <c r="AJ49" s="1008"/>
      <c r="AK49" s="1008"/>
      <c r="AL49" s="1008"/>
      <c r="AM49" s="1008"/>
      <c r="AN49" s="1008"/>
      <c r="AO49" s="1008">
        <v>1450000</v>
      </c>
      <c r="AP49" s="1008"/>
      <c r="AQ49" s="1008"/>
      <c r="AR49" s="1008"/>
      <c r="AS49" s="1008"/>
      <c r="AU49" s="1011">
        <f t="shared" si="3"/>
        <v>0.77500000000000002</v>
      </c>
      <c r="AV49" s="1008">
        <f t="shared" si="34"/>
        <v>15500000</v>
      </c>
      <c r="AW49" s="1008"/>
      <c r="AX49" s="1008">
        <v>494343</v>
      </c>
      <c r="AY49" s="1008">
        <f>+'[18]OCTUBRE 2015'!$L$2052</f>
        <v>13555657</v>
      </c>
      <c r="AZ49" s="1008"/>
      <c r="BA49" s="1008"/>
      <c r="BB49" s="1008"/>
      <c r="BC49" s="1008"/>
      <c r="BD49" s="1008"/>
      <c r="BE49" s="1008"/>
      <c r="BF49" s="1008"/>
      <c r="BG49" s="1008"/>
      <c r="BH49" s="1008"/>
      <c r="BI49" s="1008"/>
      <c r="BJ49" s="1008"/>
      <c r="BK49" s="1008"/>
      <c r="BL49" s="1008">
        <f>+'[15]JULIO 2015'!$Y$1386</f>
        <v>1450000</v>
      </c>
      <c r="BM49" s="1008"/>
      <c r="BN49" s="1008"/>
      <c r="BO49" s="1008"/>
      <c r="BP49" s="1008"/>
      <c r="BQ49" s="1011">
        <f t="shared" si="25"/>
        <v>0.22499999999999998</v>
      </c>
      <c r="BR49" s="1008">
        <f t="shared" si="35"/>
        <v>4500000</v>
      </c>
      <c r="BS49" s="1008">
        <f t="shared" si="36"/>
        <v>0</v>
      </c>
      <c r="BT49" s="1008">
        <f t="shared" si="52"/>
        <v>0</v>
      </c>
      <c r="BU49" s="1008">
        <f t="shared" si="37"/>
        <v>4500000</v>
      </c>
      <c r="BV49" s="1008">
        <f t="shared" si="37"/>
        <v>0</v>
      </c>
      <c r="BW49" s="1008"/>
      <c r="BX49" s="1008">
        <f t="shared" si="38"/>
        <v>0</v>
      </c>
      <c r="BY49" s="1008">
        <f t="shared" si="38"/>
        <v>0</v>
      </c>
      <c r="BZ49" s="1008"/>
      <c r="CA49" s="1008"/>
      <c r="CB49" s="1008">
        <f>+AI49-BF49</f>
        <v>0</v>
      </c>
      <c r="CC49" s="1008"/>
      <c r="CD49" s="1008">
        <f t="shared" si="40"/>
        <v>0</v>
      </c>
      <c r="CE49" s="1008">
        <f t="shared" si="40"/>
        <v>0</v>
      </c>
      <c r="CF49" s="1008">
        <f t="shared" si="40"/>
        <v>0</v>
      </c>
      <c r="CG49" s="1008">
        <f t="shared" si="40"/>
        <v>0</v>
      </c>
      <c r="CH49" s="1008">
        <f t="shared" si="40"/>
        <v>0</v>
      </c>
      <c r="CI49" s="1008">
        <f t="shared" si="40"/>
        <v>0</v>
      </c>
      <c r="CJ49" s="1008"/>
      <c r="CK49" s="1008"/>
      <c r="CL49" s="1008">
        <f t="shared" si="41"/>
        <v>0</v>
      </c>
      <c r="CM49" s="1011">
        <f t="shared" si="13"/>
        <v>0.70250000000000001</v>
      </c>
      <c r="CN49" s="1008">
        <f t="shared" si="42"/>
        <v>14050000</v>
      </c>
      <c r="CO49" s="1008"/>
      <c r="CP49" s="1008">
        <f>20000000-18055657-1450000</f>
        <v>494343</v>
      </c>
      <c r="CQ49" s="1008">
        <f>+'[18]OCTUBRE 2015'!$L$2053</f>
        <v>13555657</v>
      </c>
      <c r="CR49" s="1008"/>
      <c r="CS49" s="1008"/>
      <c r="CT49" s="1008"/>
      <c r="CU49" s="1008"/>
      <c r="CV49" s="1008"/>
      <c r="CW49" s="1008"/>
      <c r="CX49" s="1008"/>
      <c r="CY49" s="1008"/>
      <c r="CZ49" s="1008"/>
      <c r="DA49" s="1008"/>
      <c r="DB49" s="1008"/>
      <c r="DC49" s="1008"/>
      <c r="DD49" s="1008"/>
      <c r="DE49" s="1008"/>
      <c r="DF49" s="1008"/>
      <c r="DG49" s="1008"/>
      <c r="DH49" s="1008"/>
      <c r="DI49" s="1011">
        <f t="shared" si="15"/>
        <v>0.29749999999999999</v>
      </c>
      <c r="DJ49" s="1008">
        <f t="shared" si="43"/>
        <v>5950000</v>
      </c>
      <c r="DK49" s="1008"/>
      <c r="DL49" s="1008">
        <f t="shared" si="53"/>
        <v>0</v>
      </c>
      <c r="DM49" s="1008">
        <f t="shared" si="53"/>
        <v>4500000</v>
      </c>
      <c r="DN49" s="1008">
        <f t="shared" si="51"/>
        <v>0</v>
      </c>
      <c r="DO49" s="1008"/>
      <c r="DP49" s="1008">
        <f t="shared" si="45"/>
        <v>0</v>
      </c>
      <c r="DQ49" s="1008">
        <f t="shared" si="45"/>
        <v>0</v>
      </c>
      <c r="DR49" s="1008"/>
      <c r="DS49" s="1008">
        <f t="shared" si="46"/>
        <v>0</v>
      </c>
      <c r="DT49" s="1008">
        <f t="shared" si="46"/>
        <v>0</v>
      </c>
      <c r="DU49" s="1008"/>
      <c r="DV49" s="1008">
        <f t="shared" si="47"/>
        <v>0</v>
      </c>
      <c r="DW49" s="1008">
        <f t="shared" si="47"/>
        <v>0</v>
      </c>
      <c r="DX49" s="1008">
        <f t="shared" si="47"/>
        <v>0</v>
      </c>
      <c r="DY49" s="1008">
        <f t="shared" si="48"/>
        <v>0</v>
      </c>
      <c r="DZ49" s="1008">
        <f t="shared" si="48"/>
        <v>1450000</v>
      </c>
      <c r="EA49" s="1008">
        <f t="shared" si="48"/>
        <v>0</v>
      </c>
      <c r="EB49" s="1008">
        <f t="shared" si="48"/>
        <v>0</v>
      </c>
      <c r="EC49" s="1008"/>
      <c r="ED49" s="1008">
        <f t="shared" si="49"/>
        <v>0</v>
      </c>
    </row>
    <row r="50" spans="1:135" ht="39.75" customHeight="1" x14ac:dyDescent="0.25">
      <c r="A50" s="1562"/>
      <c r="B50" s="1019"/>
      <c r="C50" s="1116" t="s">
        <v>4382</v>
      </c>
      <c r="D50" s="1019" t="s">
        <v>4311</v>
      </c>
      <c r="E50" s="1020">
        <v>410</v>
      </c>
      <c r="F50" s="1120" t="s">
        <v>4704</v>
      </c>
      <c r="G50" s="1400"/>
      <c r="H50" s="1061">
        <f t="shared" si="31"/>
        <v>19373471</v>
      </c>
      <c r="I50" s="1061">
        <f t="shared" si="32"/>
        <v>12126529</v>
      </c>
      <c r="J50" s="1399" t="s">
        <v>4813</v>
      </c>
      <c r="K50" s="1283" t="s">
        <v>4814</v>
      </c>
      <c r="L50" s="1283" t="s">
        <v>4813</v>
      </c>
      <c r="M50" s="1115">
        <v>0</v>
      </c>
      <c r="N50" s="1115">
        <v>0</v>
      </c>
      <c r="O50" s="1115">
        <v>0</v>
      </c>
      <c r="P50" s="1115">
        <v>8</v>
      </c>
      <c r="Q50" s="1115">
        <v>0</v>
      </c>
      <c r="R50" s="1115">
        <v>0</v>
      </c>
      <c r="S50" s="1120"/>
      <c r="T50" s="1120"/>
      <c r="U50" s="1120"/>
      <c r="V50" s="1120"/>
      <c r="W50" s="1120"/>
      <c r="X50" s="1120"/>
      <c r="Y50" s="1008">
        <f t="shared" si="33"/>
        <v>31500000</v>
      </c>
      <c r="Z50" s="944"/>
      <c r="AA50" s="1008"/>
      <c r="AB50" s="1008"/>
      <c r="AC50" s="1008"/>
      <c r="AD50" s="1008"/>
      <c r="AE50" s="1008"/>
      <c r="AF50" s="1008"/>
      <c r="AG50" s="1008"/>
      <c r="AH50" s="1008"/>
      <c r="AI50" s="1008"/>
      <c r="AJ50" s="1008"/>
      <c r="AK50" s="1008"/>
      <c r="AL50" s="1008"/>
      <c r="AM50" s="1008"/>
      <c r="AN50" s="1008">
        <f>14000000-10000000</f>
        <v>4000000</v>
      </c>
      <c r="AO50" s="1008"/>
      <c r="AP50" s="1008"/>
      <c r="AQ50" s="1008"/>
      <c r="AR50" s="1008"/>
      <c r="AS50" s="1008">
        <f>5000000+2500000+5000000+15000000</f>
        <v>27500000</v>
      </c>
      <c r="AU50" s="1011">
        <f t="shared" si="3"/>
        <v>0.69774511111111115</v>
      </c>
      <c r="AV50" s="1008">
        <f t="shared" si="34"/>
        <v>21978971</v>
      </c>
      <c r="AW50" s="1008"/>
      <c r="AX50" s="1008"/>
      <c r="AY50" s="1008"/>
      <c r="AZ50" s="1008"/>
      <c r="BA50" s="1008"/>
      <c r="BB50" s="1008"/>
      <c r="BC50" s="1008"/>
      <c r="BD50" s="1008"/>
      <c r="BE50" s="1008"/>
      <c r="BF50" s="1008"/>
      <c r="BG50" s="1008"/>
      <c r="BH50" s="1008"/>
      <c r="BI50" s="1008"/>
      <c r="BJ50" s="1008"/>
      <c r="BK50" s="1008">
        <v>4000000</v>
      </c>
      <c r="BL50" s="1008"/>
      <c r="BM50" s="1008"/>
      <c r="BN50" s="1008"/>
      <c r="BO50" s="1008"/>
      <c r="BP50" s="1008">
        <f>+'[18]OCTUBRE 2015'!$AD$2060</f>
        <v>17978971</v>
      </c>
      <c r="BQ50" s="1011">
        <f t="shared" si="25"/>
        <v>0.30225488888888885</v>
      </c>
      <c r="BR50" s="1008">
        <f t="shared" si="35"/>
        <v>9521029</v>
      </c>
      <c r="BS50" s="1008">
        <f t="shared" si="36"/>
        <v>0</v>
      </c>
      <c r="BT50" s="1008">
        <f t="shared" si="52"/>
        <v>0</v>
      </c>
      <c r="BU50" s="1008">
        <f t="shared" si="37"/>
        <v>0</v>
      </c>
      <c r="BV50" s="1008">
        <f t="shared" si="37"/>
        <v>0</v>
      </c>
      <c r="BW50" s="1008"/>
      <c r="BX50" s="1008">
        <f t="shared" si="38"/>
        <v>0</v>
      </c>
      <c r="BY50" s="1008">
        <f t="shared" si="38"/>
        <v>0</v>
      </c>
      <c r="BZ50" s="1008"/>
      <c r="CA50" s="1008"/>
      <c r="CB50" s="1008">
        <f>+AI50-BF50</f>
        <v>0</v>
      </c>
      <c r="CC50" s="1008"/>
      <c r="CD50" s="1008">
        <f t="shared" si="40"/>
        <v>0</v>
      </c>
      <c r="CE50" s="1008">
        <f t="shared" si="40"/>
        <v>0</v>
      </c>
      <c r="CF50" s="1008">
        <f t="shared" si="40"/>
        <v>0</v>
      </c>
      <c r="CG50" s="1008">
        <f t="shared" si="40"/>
        <v>0</v>
      </c>
      <c r="CH50" s="1008">
        <f t="shared" si="40"/>
        <v>0</v>
      </c>
      <c r="CI50" s="1008">
        <f t="shared" si="40"/>
        <v>0</v>
      </c>
      <c r="CJ50" s="1008"/>
      <c r="CK50" s="1008"/>
      <c r="CL50" s="1008">
        <f t="shared" si="41"/>
        <v>9521029</v>
      </c>
      <c r="CM50" s="1011">
        <f t="shared" si="13"/>
        <v>0.61503082539682541</v>
      </c>
      <c r="CN50" s="1008">
        <f t="shared" si="42"/>
        <v>19373471</v>
      </c>
      <c r="CO50" s="1008"/>
      <c r="CP50" s="1008"/>
      <c r="CQ50" s="1008"/>
      <c r="CR50" s="1008"/>
      <c r="CS50" s="1008"/>
      <c r="CT50" s="1008"/>
      <c r="CU50" s="1008"/>
      <c r="CV50" s="1008"/>
      <c r="CW50" s="1008"/>
      <c r="CX50" s="1008"/>
      <c r="CY50" s="1008"/>
      <c r="CZ50" s="1008"/>
      <c r="DA50" s="1008"/>
      <c r="DB50" s="1008"/>
      <c r="DC50" s="1008">
        <f>+'[15]JULIO 2015'!$H$1401</f>
        <v>4000000</v>
      </c>
      <c r="DD50" s="1008"/>
      <c r="DE50" s="1008"/>
      <c r="DF50" s="1008"/>
      <c r="DG50" s="1008"/>
      <c r="DH50" s="1008">
        <f>+'[18]OCTUBRE 2015'!$H$2058-DC50</f>
        <v>15373471</v>
      </c>
      <c r="DI50" s="1011">
        <f t="shared" si="15"/>
        <v>0.38496917460317459</v>
      </c>
      <c r="DJ50" s="1008">
        <f t="shared" si="43"/>
        <v>12126529</v>
      </c>
      <c r="DK50" s="1008"/>
      <c r="DL50" s="1008"/>
      <c r="DM50" s="1008"/>
      <c r="DN50" s="1008">
        <f t="shared" si="51"/>
        <v>0</v>
      </c>
      <c r="DO50" s="1008"/>
      <c r="DP50" s="1008">
        <f t="shared" si="45"/>
        <v>0</v>
      </c>
      <c r="DQ50" s="1008">
        <f t="shared" si="45"/>
        <v>0</v>
      </c>
      <c r="DR50" s="1008"/>
      <c r="DS50" s="1008">
        <f t="shared" si="46"/>
        <v>0</v>
      </c>
      <c r="DT50" s="1008">
        <f t="shared" si="46"/>
        <v>0</v>
      </c>
      <c r="DU50" s="1008"/>
      <c r="DV50" s="1008">
        <f t="shared" si="47"/>
        <v>0</v>
      </c>
      <c r="DW50" s="1008">
        <f t="shared" si="47"/>
        <v>0</v>
      </c>
      <c r="DX50" s="1008">
        <f t="shared" si="47"/>
        <v>0</v>
      </c>
      <c r="DY50" s="1008">
        <f t="shared" si="48"/>
        <v>0</v>
      </c>
      <c r="DZ50" s="1008">
        <f t="shared" si="48"/>
        <v>0</v>
      </c>
      <c r="EA50" s="1008">
        <f t="shared" si="48"/>
        <v>0</v>
      </c>
      <c r="EB50" s="1008">
        <f t="shared" si="48"/>
        <v>0</v>
      </c>
      <c r="EC50" s="1008"/>
      <c r="ED50" s="1008">
        <f t="shared" si="49"/>
        <v>12126529</v>
      </c>
    </row>
    <row r="51" spans="1:135" ht="32.25" customHeight="1" x14ac:dyDescent="0.25">
      <c r="A51" s="1562"/>
      <c r="B51" s="1019"/>
      <c r="C51" s="1116" t="s">
        <v>4383</v>
      </c>
      <c r="D51" s="1019" t="s">
        <v>4324</v>
      </c>
      <c r="E51" s="1020">
        <v>410</v>
      </c>
      <c r="F51" s="1120" t="s">
        <v>4347</v>
      </c>
      <c r="G51" s="1400"/>
      <c r="H51" s="1061">
        <f t="shared" si="31"/>
        <v>0</v>
      </c>
      <c r="I51" s="1061">
        <f t="shared" si="32"/>
        <v>7000000</v>
      </c>
      <c r="J51" s="1400"/>
      <c r="K51" s="1573"/>
      <c r="L51" s="1573"/>
      <c r="M51" s="1115">
        <v>0</v>
      </c>
      <c r="N51" s="1115">
        <v>0</v>
      </c>
      <c r="O51" s="1115">
        <v>0</v>
      </c>
      <c r="P51" s="1115">
        <v>0</v>
      </c>
      <c r="Q51" s="1115">
        <v>0</v>
      </c>
      <c r="R51" s="1115">
        <v>0</v>
      </c>
      <c r="S51" s="1120"/>
      <c r="T51" s="1120"/>
      <c r="U51" s="1120"/>
      <c r="V51" s="1120"/>
      <c r="W51" s="1120"/>
      <c r="X51" s="1120"/>
      <c r="Y51" s="1008">
        <f t="shared" si="33"/>
        <v>7000000</v>
      </c>
      <c r="Z51" s="944"/>
      <c r="AA51" s="1008"/>
      <c r="AB51" s="1008"/>
      <c r="AC51" s="1008"/>
      <c r="AD51" s="1008"/>
      <c r="AE51" s="1008"/>
      <c r="AF51" s="1008"/>
      <c r="AG51" s="1008"/>
      <c r="AH51" s="1008"/>
      <c r="AI51" s="1008"/>
      <c r="AJ51" s="1008"/>
      <c r="AK51" s="1008"/>
      <c r="AL51" s="1008"/>
      <c r="AM51" s="1008"/>
      <c r="AN51" s="1008"/>
      <c r="AO51" s="1008"/>
      <c r="AP51" s="1008"/>
      <c r="AQ51" s="1008"/>
      <c r="AR51" s="1008"/>
      <c r="AS51" s="1008">
        <f>2000000+5000000</f>
        <v>7000000</v>
      </c>
      <c r="AU51" s="1011">
        <f t="shared" si="3"/>
        <v>0.2857142857142857</v>
      </c>
      <c r="AV51" s="1008">
        <f t="shared" si="34"/>
        <v>2000000</v>
      </c>
      <c r="AW51" s="1008"/>
      <c r="AX51" s="1008"/>
      <c r="AY51" s="1008"/>
      <c r="AZ51" s="1008"/>
      <c r="BA51" s="1008"/>
      <c r="BB51" s="1008"/>
      <c r="BC51" s="1008"/>
      <c r="BD51" s="1008"/>
      <c r="BE51" s="1008"/>
      <c r="BF51" s="1008"/>
      <c r="BG51" s="1008"/>
      <c r="BH51" s="1008"/>
      <c r="BI51" s="1008"/>
      <c r="BJ51" s="1008"/>
      <c r="BK51" s="1008"/>
      <c r="BL51" s="1008"/>
      <c r="BM51" s="1008"/>
      <c r="BN51" s="1008"/>
      <c r="BO51" s="1008"/>
      <c r="BP51" s="1008">
        <f>+'[9]FEBRERO 2015'!$AC$571</f>
        <v>2000000</v>
      </c>
      <c r="BQ51" s="1011">
        <f t="shared" si="25"/>
        <v>0.7142857142857143</v>
      </c>
      <c r="BR51" s="1008">
        <f t="shared" si="35"/>
        <v>5000000</v>
      </c>
      <c r="BS51" s="1008">
        <f t="shared" si="36"/>
        <v>0</v>
      </c>
      <c r="BT51" s="1008">
        <f t="shared" si="52"/>
        <v>0</v>
      </c>
      <c r="BU51" s="1008">
        <f t="shared" si="52"/>
        <v>0</v>
      </c>
      <c r="BV51" s="1008">
        <f t="shared" si="52"/>
        <v>0</v>
      </c>
      <c r="BW51" s="1008"/>
      <c r="BX51" s="1008">
        <f t="shared" si="38"/>
        <v>0</v>
      </c>
      <c r="BY51" s="1008">
        <f t="shared" si="38"/>
        <v>0</v>
      </c>
      <c r="BZ51" s="1008"/>
      <c r="CA51" s="1008"/>
      <c r="CB51" s="1008">
        <f>+AI51-BF51</f>
        <v>0</v>
      </c>
      <c r="CC51" s="1008"/>
      <c r="CD51" s="1008">
        <f t="shared" si="40"/>
        <v>0</v>
      </c>
      <c r="CE51" s="1008">
        <f t="shared" si="40"/>
        <v>0</v>
      </c>
      <c r="CF51" s="1008">
        <f t="shared" si="40"/>
        <v>0</v>
      </c>
      <c r="CG51" s="1008">
        <f t="shared" si="40"/>
        <v>0</v>
      </c>
      <c r="CH51" s="1008">
        <f t="shared" si="40"/>
        <v>0</v>
      </c>
      <c r="CI51" s="1008">
        <f t="shared" si="40"/>
        <v>0</v>
      </c>
      <c r="CJ51" s="1008"/>
      <c r="CK51" s="1008"/>
      <c r="CL51" s="1008">
        <f t="shared" si="41"/>
        <v>5000000</v>
      </c>
      <c r="CM51" s="1011">
        <f t="shared" si="13"/>
        <v>0</v>
      </c>
      <c r="CN51" s="1008">
        <f t="shared" si="42"/>
        <v>0</v>
      </c>
      <c r="CO51" s="1008"/>
      <c r="CP51" s="1008"/>
      <c r="CQ51" s="1008"/>
      <c r="CR51" s="1008"/>
      <c r="CS51" s="1008"/>
      <c r="CT51" s="1008"/>
      <c r="CU51" s="1008"/>
      <c r="CV51" s="1008"/>
      <c r="CW51" s="1008"/>
      <c r="CX51" s="1008"/>
      <c r="CY51" s="1008"/>
      <c r="CZ51" s="1008"/>
      <c r="DA51" s="1008"/>
      <c r="DB51" s="1008"/>
      <c r="DC51" s="1008"/>
      <c r="DD51" s="1008"/>
      <c r="DE51" s="1008"/>
      <c r="DF51" s="1008"/>
      <c r="DG51" s="1008"/>
      <c r="DH51" s="1008"/>
      <c r="DI51" s="1011">
        <f t="shared" si="15"/>
        <v>1</v>
      </c>
      <c r="DJ51" s="1008">
        <f t="shared" si="43"/>
        <v>7000000</v>
      </c>
      <c r="DK51" s="1008"/>
      <c r="DL51" s="1008"/>
      <c r="DM51" s="1008"/>
      <c r="DN51" s="1008">
        <f t="shared" si="51"/>
        <v>0</v>
      </c>
      <c r="DO51" s="1008"/>
      <c r="DP51" s="1008">
        <f t="shared" si="45"/>
        <v>0</v>
      </c>
      <c r="DQ51" s="1008">
        <f t="shared" si="45"/>
        <v>0</v>
      </c>
      <c r="DR51" s="1008"/>
      <c r="DS51" s="1008">
        <f t="shared" si="46"/>
        <v>0</v>
      </c>
      <c r="DT51" s="1008">
        <f t="shared" si="46"/>
        <v>0</v>
      </c>
      <c r="DU51" s="1008"/>
      <c r="DV51" s="1008">
        <f t="shared" si="47"/>
        <v>0</v>
      </c>
      <c r="DW51" s="1008">
        <f t="shared" si="47"/>
        <v>0</v>
      </c>
      <c r="DX51" s="1008">
        <f t="shared" si="47"/>
        <v>0</v>
      </c>
      <c r="DY51" s="1008">
        <f t="shared" si="48"/>
        <v>0</v>
      </c>
      <c r="DZ51" s="1008">
        <f t="shared" si="48"/>
        <v>0</v>
      </c>
      <c r="EA51" s="1008">
        <f t="shared" si="48"/>
        <v>0</v>
      </c>
      <c r="EB51" s="1008">
        <f t="shared" si="48"/>
        <v>0</v>
      </c>
      <c r="EC51" s="1008"/>
      <c r="ED51" s="1008">
        <f t="shared" si="49"/>
        <v>7000000</v>
      </c>
    </row>
    <row r="52" spans="1:135" s="203" customFormat="1" ht="21.75" customHeight="1" x14ac:dyDescent="0.25">
      <c r="A52" s="1562"/>
      <c r="B52" s="1019"/>
      <c r="C52" s="1081" t="s">
        <v>4384</v>
      </c>
      <c r="D52" s="1019" t="s">
        <v>4325</v>
      </c>
      <c r="E52" s="1020">
        <v>410</v>
      </c>
      <c r="F52" s="1120" t="s">
        <v>3350</v>
      </c>
      <c r="G52" s="1401"/>
      <c r="H52" s="1061">
        <f t="shared" si="31"/>
        <v>502114960</v>
      </c>
      <c r="I52" s="1061">
        <f t="shared" si="32"/>
        <v>197885040</v>
      </c>
      <c r="J52" s="1401"/>
      <c r="K52" s="1284"/>
      <c r="L52" s="1284"/>
      <c r="M52" s="1075"/>
      <c r="N52" s="1075"/>
      <c r="O52" s="1075"/>
      <c r="P52" s="1075"/>
      <c r="Q52" s="1075"/>
      <c r="R52" s="1075"/>
      <c r="S52" s="1120"/>
      <c r="T52" s="1120"/>
      <c r="U52" s="1120"/>
      <c r="V52" s="1120"/>
      <c r="W52" s="1120"/>
      <c r="X52" s="1120"/>
      <c r="Y52" s="1067">
        <f t="shared" si="33"/>
        <v>700000000</v>
      </c>
      <c r="Z52" s="149"/>
      <c r="AA52" s="1067"/>
      <c r="AB52" s="1067"/>
      <c r="AC52" s="1067"/>
      <c r="AD52" s="1067"/>
      <c r="AE52" s="1067"/>
      <c r="AF52" s="1067"/>
      <c r="AG52" s="1067"/>
      <c r="AH52" s="1067"/>
      <c r="AI52" s="1067"/>
      <c r="AJ52" s="1067"/>
      <c r="AK52" s="1067"/>
      <c r="AL52" s="1067">
        <v>700000000</v>
      </c>
      <c r="AM52" s="1067"/>
      <c r="AN52" s="1067"/>
      <c r="AO52" s="1067"/>
      <c r="AP52" s="1067"/>
      <c r="AQ52" s="1067"/>
      <c r="AR52" s="1067"/>
      <c r="AS52" s="1067"/>
      <c r="AU52" s="1082">
        <f t="shared" si="3"/>
        <v>0.87039913571428573</v>
      </c>
      <c r="AV52" s="1067">
        <f t="shared" si="34"/>
        <v>609279395</v>
      </c>
      <c r="AW52" s="1067"/>
      <c r="AX52" s="1067"/>
      <c r="AY52" s="1067"/>
      <c r="AZ52" s="1067"/>
      <c r="BA52" s="1067"/>
      <c r="BB52" s="1067"/>
      <c r="BC52" s="1067"/>
      <c r="BD52" s="1067"/>
      <c r="BE52" s="1067"/>
      <c r="BF52" s="1067"/>
      <c r="BG52" s="1067"/>
      <c r="BH52" s="1067"/>
      <c r="BI52" s="1067">
        <v>609279395</v>
      </c>
      <c r="BJ52" s="1067"/>
      <c r="BK52" s="1067"/>
      <c r="BL52" s="1067"/>
      <c r="BM52" s="1067"/>
      <c r="BN52" s="1067"/>
      <c r="BO52" s="1067"/>
      <c r="BP52" s="1067"/>
      <c r="BQ52" s="1082">
        <f t="shared" si="25"/>
        <v>0.12960086428571427</v>
      </c>
      <c r="BR52" s="1067">
        <f t="shared" si="35"/>
        <v>90720605</v>
      </c>
      <c r="BS52" s="1067">
        <f t="shared" si="36"/>
        <v>0</v>
      </c>
      <c r="BT52" s="1067">
        <f t="shared" si="52"/>
        <v>0</v>
      </c>
      <c r="BU52" s="1067">
        <f t="shared" si="52"/>
        <v>0</v>
      </c>
      <c r="BV52" s="1067">
        <f t="shared" si="52"/>
        <v>0</v>
      </c>
      <c r="BW52" s="1067"/>
      <c r="BX52" s="1067">
        <f t="shared" si="38"/>
        <v>0</v>
      </c>
      <c r="BY52" s="1067">
        <f t="shared" si="38"/>
        <v>0</v>
      </c>
      <c r="BZ52" s="1067"/>
      <c r="CA52" s="1067">
        <f>+AH52-BE52</f>
        <v>0</v>
      </c>
      <c r="CB52" s="1067">
        <f>+AI52-BF52</f>
        <v>0</v>
      </c>
      <c r="CC52" s="1067">
        <f>+AJ52-BG52</f>
        <v>0</v>
      </c>
      <c r="CD52" s="1067">
        <f t="shared" si="40"/>
        <v>0</v>
      </c>
      <c r="CE52" s="1067">
        <f t="shared" si="40"/>
        <v>90720605</v>
      </c>
      <c r="CF52" s="1067">
        <f t="shared" si="40"/>
        <v>0</v>
      </c>
      <c r="CG52" s="1067">
        <f t="shared" si="40"/>
        <v>0</v>
      </c>
      <c r="CH52" s="1067">
        <f t="shared" si="40"/>
        <v>0</v>
      </c>
      <c r="CI52" s="1067">
        <f t="shared" si="40"/>
        <v>0</v>
      </c>
      <c r="CJ52" s="1067"/>
      <c r="CK52" s="1067"/>
      <c r="CL52" s="1067">
        <f t="shared" si="41"/>
        <v>0</v>
      </c>
      <c r="CM52" s="1082">
        <f t="shared" si="13"/>
        <v>0.7173070857142857</v>
      </c>
      <c r="CN52" s="1067">
        <f t="shared" si="42"/>
        <v>502114960</v>
      </c>
      <c r="CO52" s="1067"/>
      <c r="CP52" s="1067"/>
      <c r="CQ52" s="1067"/>
      <c r="CR52" s="1067"/>
      <c r="CS52" s="1067"/>
      <c r="CT52" s="1067"/>
      <c r="CU52" s="1067"/>
      <c r="CV52" s="1067"/>
      <c r="CW52" s="1067"/>
      <c r="CX52" s="1067"/>
      <c r="CY52" s="1067"/>
      <c r="CZ52" s="1067"/>
      <c r="DA52" s="1067">
        <f>+'[18]OCTUBRE 2015'!$H$2087</f>
        <v>502114960</v>
      </c>
      <c r="DB52" s="1067"/>
      <c r="DC52" s="1067"/>
      <c r="DD52" s="1067"/>
      <c r="DE52" s="1067"/>
      <c r="DF52" s="1067"/>
      <c r="DG52" s="1067"/>
      <c r="DH52" s="1067"/>
      <c r="DI52" s="1082">
        <f t="shared" si="15"/>
        <v>0.2826929142857143</v>
      </c>
      <c r="DJ52" s="1067">
        <f t="shared" si="43"/>
        <v>197885040</v>
      </c>
      <c r="DK52" s="1067"/>
      <c r="DL52" s="1067"/>
      <c r="DM52" s="1067"/>
      <c r="DN52" s="1067">
        <f t="shared" si="51"/>
        <v>0</v>
      </c>
      <c r="DO52" s="1067"/>
      <c r="DP52" s="1067">
        <f t="shared" si="45"/>
        <v>0</v>
      </c>
      <c r="DQ52" s="1067">
        <f t="shared" si="45"/>
        <v>0</v>
      </c>
      <c r="DR52" s="1067"/>
      <c r="DS52" s="1067">
        <f t="shared" si="46"/>
        <v>0</v>
      </c>
      <c r="DT52" s="1067">
        <f t="shared" si="46"/>
        <v>0</v>
      </c>
      <c r="DU52" s="1067"/>
      <c r="DV52" s="1067">
        <f t="shared" si="47"/>
        <v>0</v>
      </c>
      <c r="DW52" s="1067">
        <f t="shared" si="47"/>
        <v>197885040</v>
      </c>
      <c r="DX52" s="1067">
        <f t="shared" si="47"/>
        <v>0</v>
      </c>
      <c r="DY52" s="1067">
        <f t="shared" si="48"/>
        <v>0</v>
      </c>
      <c r="DZ52" s="1067">
        <f t="shared" si="48"/>
        <v>0</v>
      </c>
      <c r="EA52" s="1067">
        <f t="shared" si="48"/>
        <v>0</v>
      </c>
      <c r="EB52" s="1067">
        <f t="shared" si="48"/>
        <v>0</v>
      </c>
      <c r="EC52" s="1067"/>
      <c r="ED52" s="1067">
        <f t="shared" si="49"/>
        <v>0</v>
      </c>
    </row>
    <row r="53" spans="1:135" ht="53.25" customHeight="1" x14ac:dyDescent="0.25">
      <c r="A53" s="1562"/>
      <c r="B53" s="1019" t="s">
        <v>4312</v>
      </c>
      <c r="C53" s="1116" t="s">
        <v>4385</v>
      </c>
      <c r="D53" s="1019" t="s">
        <v>4327</v>
      </c>
      <c r="E53" s="1020">
        <v>410</v>
      </c>
      <c r="F53" s="1120" t="s">
        <v>4732</v>
      </c>
      <c r="G53" s="1399">
        <v>1104000000</v>
      </c>
      <c r="H53" s="1061">
        <f t="shared" si="31"/>
        <v>4326213</v>
      </c>
      <c r="I53" s="1061">
        <f t="shared" si="32"/>
        <v>1673787</v>
      </c>
      <c r="J53" s="1120" t="s">
        <v>4826</v>
      </c>
      <c r="K53" s="1115" t="s">
        <v>4828</v>
      </c>
      <c r="L53" s="1115" t="s">
        <v>4830</v>
      </c>
      <c r="M53" s="1115">
        <v>0</v>
      </c>
      <c r="N53" s="1115">
        <v>0</v>
      </c>
      <c r="O53" s="1115">
        <v>0</v>
      </c>
      <c r="P53" s="1115">
        <v>0</v>
      </c>
      <c r="Q53" s="1115">
        <v>0</v>
      </c>
      <c r="R53" s="1115">
        <v>0</v>
      </c>
      <c r="S53" s="1120"/>
      <c r="T53" s="1120"/>
      <c r="U53" s="1120"/>
      <c r="V53" s="1120"/>
      <c r="W53" s="1120"/>
      <c r="X53" s="1120"/>
      <c r="Y53" s="1008">
        <f t="shared" si="33"/>
        <v>6000000</v>
      </c>
      <c r="Z53" s="944"/>
      <c r="AA53" s="1008"/>
      <c r="AB53" s="1008"/>
      <c r="AC53" s="1008"/>
      <c r="AD53" s="1008"/>
      <c r="AE53" s="1008"/>
      <c r="AF53" s="1008"/>
      <c r="AG53" s="1008"/>
      <c r="AH53" s="1008"/>
      <c r="AI53" s="1008"/>
      <c r="AJ53" s="1008"/>
      <c r="AK53" s="1008"/>
      <c r="AL53" s="1008"/>
      <c r="AM53" s="1008"/>
      <c r="AN53" s="1008"/>
      <c r="AO53" s="1008"/>
      <c r="AP53" s="1008"/>
      <c r="AQ53" s="1008"/>
      <c r="AR53" s="1008"/>
      <c r="AS53" s="1008">
        <f>4000000+2000000</f>
        <v>6000000</v>
      </c>
      <c r="AU53" s="1011">
        <f t="shared" si="3"/>
        <v>1</v>
      </c>
      <c r="AV53" s="1008">
        <f t="shared" si="34"/>
        <v>6000000</v>
      </c>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f>+'[15]JULIO 2015'!$AD$1462</f>
        <v>6000000</v>
      </c>
      <c r="BQ53" s="1011">
        <f t="shared" si="25"/>
        <v>0</v>
      </c>
      <c r="BR53" s="1008">
        <f t="shared" si="35"/>
        <v>0</v>
      </c>
      <c r="BS53" s="1008">
        <f t="shared" si="36"/>
        <v>0</v>
      </c>
      <c r="BT53" s="1008">
        <f t="shared" si="52"/>
        <v>0</v>
      </c>
      <c r="BU53" s="1008">
        <f t="shared" si="52"/>
        <v>0</v>
      </c>
      <c r="BV53" s="1008">
        <f t="shared" si="52"/>
        <v>0</v>
      </c>
      <c r="BW53" s="1008"/>
      <c r="BX53" s="1008">
        <f t="shared" si="38"/>
        <v>0</v>
      </c>
      <c r="BY53" s="1008">
        <f t="shared" si="38"/>
        <v>0</v>
      </c>
      <c r="BZ53" s="1008"/>
      <c r="CA53" s="1008">
        <f>+AH53-BF53</f>
        <v>0</v>
      </c>
      <c r="CB53" s="1008">
        <f>+AI53-BF53</f>
        <v>0</v>
      </c>
      <c r="CC53" s="1008">
        <f>+AJ53-BG53</f>
        <v>0</v>
      </c>
      <c r="CD53" s="1008">
        <f t="shared" si="40"/>
        <v>0</v>
      </c>
      <c r="CE53" s="1008">
        <f t="shared" si="40"/>
        <v>0</v>
      </c>
      <c r="CF53" s="1008">
        <f t="shared" si="40"/>
        <v>0</v>
      </c>
      <c r="CG53" s="1008">
        <f t="shared" si="40"/>
        <v>0</v>
      </c>
      <c r="CH53" s="1008">
        <f t="shared" si="40"/>
        <v>0</v>
      </c>
      <c r="CI53" s="1008">
        <f t="shared" si="40"/>
        <v>0</v>
      </c>
      <c r="CJ53" s="1008">
        <f>+AQ53-BN53</f>
        <v>0</v>
      </c>
      <c r="CK53" s="1008">
        <f>+AR53-BO53</f>
        <v>0</v>
      </c>
      <c r="CL53" s="1008">
        <f t="shared" si="41"/>
        <v>0</v>
      </c>
      <c r="CM53" s="1011">
        <f t="shared" si="13"/>
        <v>0.72103550000000005</v>
      </c>
      <c r="CN53" s="1008">
        <f t="shared" si="42"/>
        <v>4326213</v>
      </c>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f>+'[18]OCTUBRE 2015'!$H$2150</f>
        <v>4326213</v>
      </c>
      <c r="DI53" s="1011">
        <f t="shared" si="15"/>
        <v>0.27896449999999995</v>
      </c>
      <c r="DJ53" s="1008">
        <f t="shared" si="43"/>
        <v>1673787</v>
      </c>
      <c r="DK53" s="1008"/>
      <c r="DL53" s="1008"/>
      <c r="DM53" s="1008"/>
      <c r="DN53" s="1008">
        <f t="shared" si="51"/>
        <v>0</v>
      </c>
      <c r="DO53" s="1008"/>
      <c r="DP53" s="1008">
        <f t="shared" si="45"/>
        <v>0</v>
      </c>
      <c r="DQ53" s="1008">
        <f t="shared" si="45"/>
        <v>0</v>
      </c>
      <c r="DR53" s="1008"/>
      <c r="DS53" s="1008">
        <f t="shared" si="46"/>
        <v>0</v>
      </c>
      <c r="DT53" s="1008">
        <f t="shared" si="46"/>
        <v>0</v>
      </c>
      <c r="DU53" s="1008"/>
      <c r="DV53" s="1008">
        <f t="shared" si="47"/>
        <v>0</v>
      </c>
      <c r="DW53" s="1008">
        <f t="shared" si="47"/>
        <v>0</v>
      </c>
      <c r="DX53" s="1008">
        <f t="shared" si="47"/>
        <v>0</v>
      </c>
      <c r="DY53" s="1008">
        <f t="shared" si="48"/>
        <v>0</v>
      </c>
      <c r="DZ53" s="1008">
        <f t="shared" si="48"/>
        <v>0</v>
      </c>
      <c r="EA53" s="1008">
        <f t="shared" si="48"/>
        <v>0</v>
      </c>
      <c r="EB53" s="1008">
        <f t="shared" si="48"/>
        <v>0</v>
      </c>
      <c r="EC53" s="1008"/>
      <c r="ED53" s="1008">
        <f t="shared" si="49"/>
        <v>1673787</v>
      </c>
    </row>
    <row r="54" spans="1:135" ht="36.75" customHeight="1" x14ac:dyDescent="0.25">
      <c r="A54" s="1562"/>
      <c r="B54" s="1019"/>
      <c r="C54" s="1116" t="s">
        <v>4386</v>
      </c>
      <c r="D54" s="1019" t="s">
        <v>4326</v>
      </c>
      <c r="E54" s="1020">
        <v>410</v>
      </c>
      <c r="F54" s="1120" t="s">
        <v>3350</v>
      </c>
      <c r="G54" s="1400"/>
      <c r="H54" s="1061">
        <f t="shared" si="31"/>
        <v>67552259</v>
      </c>
      <c r="I54" s="1061">
        <f t="shared" si="32"/>
        <v>49887778</v>
      </c>
      <c r="J54" s="1399" t="s">
        <v>4827</v>
      </c>
      <c r="K54" s="1283" t="s">
        <v>4829</v>
      </c>
      <c r="L54" s="1283" t="s">
        <v>4831</v>
      </c>
      <c r="M54" s="1115">
        <v>6</v>
      </c>
      <c r="N54" s="1115">
        <v>400</v>
      </c>
      <c r="O54" s="1115">
        <v>25</v>
      </c>
      <c r="P54" s="1115">
        <v>44</v>
      </c>
      <c r="Q54" s="1115">
        <v>450</v>
      </c>
      <c r="R54" s="1115">
        <v>200</v>
      </c>
      <c r="S54" s="1120"/>
      <c r="T54" s="1120"/>
      <c r="U54" s="1120"/>
      <c r="V54" s="1120"/>
      <c r="W54" s="1120"/>
      <c r="X54" s="1120"/>
      <c r="Y54" s="1008">
        <f t="shared" si="33"/>
        <v>117440037</v>
      </c>
      <c r="Z54" s="944"/>
      <c r="AA54" s="1008">
        <f>400000000-352559963</f>
        <v>47440037</v>
      </c>
      <c r="AB54" s="1008"/>
      <c r="AC54" s="1008"/>
      <c r="AD54" s="1008"/>
      <c r="AE54" s="1008">
        <v>50000000</v>
      </c>
      <c r="AF54" s="1008"/>
      <c r="AG54" s="1008"/>
      <c r="AH54" s="1008"/>
      <c r="AI54" s="1008"/>
      <c r="AJ54" s="1008"/>
      <c r="AK54" s="1008"/>
      <c r="AL54" s="1008"/>
      <c r="AM54" s="1008"/>
      <c r="AN54" s="1008"/>
      <c r="AO54" s="1008">
        <v>20000000</v>
      </c>
      <c r="AP54" s="1008"/>
      <c r="AQ54" s="1008"/>
      <c r="AR54" s="1008"/>
      <c r="AS54" s="1008"/>
      <c r="AU54" s="1011">
        <f t="shared" si="3"/>
        <v>0.64275243714373154</v>
      </c>
      <c r="AV54" s="1008">
        <f t="shared" si="34"/>
        <v>75484870</v>
      </c>
      <c r="AW54" s="1008"/>
      <c r="AX54" s="1008">
        <f>+'[18]OCTUBRE 2015'!$K$2165</f>
        <v>41482739</v>
      </c>
      <c r="AY54" s="1008"/>
      <c r="AZ54" s="1008"/>
      <c r="BA54" s="1008"/>
      <c r="BB54" s="1008">
        <f>+'[18]OCTUBRE 2015'!$O$2165</f>
        <v>14002131</v>
      </c>
      <c r="BC54" s="1008"/>
      <c r="BD54" s="1008"/>
      <c r="BE54" s="1008"/>
      <c r="BF54" s="1008"/>
      <c r="BG54" s="1008"/>
      <c r="BH54" s="1008"/>
      <c r="BI54" s="1008"/>
      <c r="BJ54" s="1008"/>
      <c r="BK54" s="1008"/>
      <c r="BL54" s="1008">
        <f>+'[15]JULIO 2015'!$Y$1469</f>
        <v>20000000</v>
      </c>
      <c r="BM54" s="1008"/>
      <c r="BN54" s="1008"/>
      <c r="BO54" s="1008"/>
      <c r="BP54" s="1008"/>
      <c r="BQ54" s="1011">
        <f t="shared" si="25"/>
        <v>0.35724756285626846</v>
      </c>
      <c r="BR54" s="1008">
        <f t="shared" si="35"/>
        <v>41955167</v>
      </c>
      <c r="BS54" s="1008">
        <f t="shared" si="36"/>
        <v>0</v>
      </c>
      <c r="BT54" s="1008">
        <f t="shared" si="52"/>
        <v>5957298</v>
      </c>
      <c r="BU54" s="1008">
        <f t="shared" si="52"/>
        <v>0</v>
      </c>
      <c r="BV54" s="1008">
        <f t="shared" si="52"/>
        <v>0</v>
      </c>
      <c r="BW54" s="1008"/>
      <c r="BX54" s="1008">
        <f t="shared" si="38"/>
        <v>35997869</v>
      </c>
      <c r="BY54" s="1008">
        <f t="shared" si="38"/>
        <v>0</v>
      </c>
      <c r="BZ54" s="1008"/>
      <c r="CA54" s="1008">
        <f>+AH54-BF54</f>
        <v>0</v>
      </c>
      <c r="CB54" s="1008">
        <f>+AI54-BG54</f>
        <v>0</v>
      </c>
      <c r="CC54" s="1008">
        <f>+AJ54-BH54</f>
        <v>0</v>
      </c>
      <c r="CD54" s="1008">
        <f t="shared" si="40"/>
        <v>0</v>
      </c>
      <c r="CE54" s="1008">
        <f t="shared" si="40"/>
        <v>0</v>
      </c>
      <c r="CF54" s="1008">
        <f t="shared" si="40"/>
        <v>0</v>
      </c>
      <c r="CG54" s="1008">
        <f t="shared" si="40"/>
        <v>0</v>
      </c>
      <c r="CH54" s="1008">
        <f t="shared" si="40"/>
        <v>0</v>
      </c>
      <c r="CI54" s="1008">
        <f t="shared" si="40"/>
        <v>0</v>
      </c>
      <c r="CJ54" s="1008">
        <f>+AQ54-BN54</f>
        <v>0</v>
      </c>
      <c r="CK54" s="1008">
        <f>+AR54-BO54</f>
        <v>0</v>
      </c>
      <c r="CL54" s="1008">
        <f t="shared" si="41"/>
        <v>0</v>
      </c>
      <c r="CM54" s="1011">
        <f t="shared" si="13"/>
        <v>0.5752063838331386</v>
      </c>
      <c r="CN54" s="1008">
        <f t="shared" si="42"/>
        <v>67552259</v>
      </c>
      <c r="CO54" s="1008"/>
      <c r="CP54" s="1008">
        <f>+'[18]OCTUBRE 2015'!$H$2169+'[18]OCTUBRE 2015'!$H$2173+'[18]OCTUBRE 2015'!$H$2176+'[18]OCTUBRE 2015'!$H$2181+'[18]OCTUBRE 2015'!$H$2186+'[18]OCTUBRE 2015'!$H$2189+'[18]OCTUBRE 2015'!$H$2192+'[18]OCTUBRE 2015'!$H$2200</f>
        <v>41482739</v>
      </c>
      <c r="CQ54" s="1008"/>
      <c r="CR54" s="1008"/>
      <c r="CS54" s="1008"/>
      <c r="CT54" s="1008">
        <f>+'[15]JULIO 2015'!$H$1506</f>
        <v>14002131</v>
      </c>
      <c r="CU54" s="1008"/>
      <c r="CV54" s="1008"/>
      <c r="CW54" s="1008"/>
      <c r="CX54" s="1008"/>
      <c r="CY54" s="1008"/>
      <c r="CZ54" s="1008"/>
      <c r="DA54" s="1008"/>
      <c r="DB54" s="1008"/>
      <c r="DC54" s="1008"/>
      <c r="DD54" s="1008">
        <f>+'[18]OCTUBRE 2015'!$H$2207</f>
        <v>12067389</v>
      </c>
      <c r="DE54" s="1008"/>
      <c r="DF54" s="1008"/>
      <c r="DG54" s="1008"/>
      <c r="DH54" s="1008"/>
      <c r="DI54" s="1011">
        <f t="shared" si="15"/>
        <v>0.4247936161668614</v>
      </c>
      <c r="DJ54" s="1008">
        <f t="shared" si="43"/>
        <v>49887778</v>
      </c>
      <c r="DK54" s="1008"/>
      <c r="DL54" s="1008">
        <f>AA54-CP54</f>
        <v>5957298</v>
      </c>
      <c r="DM54" s="1008">
        <f>AB54-CQ54</f>
        <v>0</v>
      </c>
      <c r="DN54" s="1008">
        <f t="shared" si="51"/>
        <v>0</v>
      </c>
      <c r="DO54" s="1008"/>
      <c r="DP54" s="1008">
        <f t="shared" si="45"/>
        <v>35997869</v>
      </c>
      <c r="DQ54" s="1008">
        <f t="shared" si="45"/>
        <v>0</v>
      </c>
      <c r="DR54" s="1008"/>
      <c r="DS54" s="1008">
        <f t="shared" si="46"/>
        <v>0</v>
      </c>
      <c r="DT54" s="1008">
        <f t="shared" si="46"/>
        <v>0</v>
      </c>
      <c r="DU54" s="1008"/>
      <c r="DV54" s="1008">
        <f t="shared" si="47"/>
        <v>0</v>
      </c>
      <c r="DW54" s="1008">
        <f t="shared" si="47"/>
        <v>0</v>
      </c>
      <c r="DX54" s="1008">
        <f t="shared" si="47"/>
        <v>0</v>
      </c>
      <c r="DY54" s="1008">
        <f t="shared" si="48"/>
        <v>0</v>
      </c>
      <c r="DZ54" s="1008">
        <f t="shared" si="48"/>
        <v>7932611</v>
      </c>
      <c r="EA54" s="1008">
        <f t="shared" si="48"/>
        <v>0</v>
      </c>
      <c r="EB54" s="1008">
        <f t="shared" si="48"/>
        <v>0</v>
      </c>
      <c r="EC54" s="1008"/>
      <c r="ED54" s="1008">
        <f t="shared" si="49"/>
        <v>0</v>
      </c>
    </row>
    <row r="55" spans="1:135" ht="20.25" customHeight="1" x14ac:dyDescent="0.25">
      <c r="A55" s="1562"/>
      <c r="B55" s="1019"/>
      <c r="C55" s="1116" t="s">
        <v>4387</v>
      </c>
      <c r="D55" s="1019" t="s">
        <v>4610</v>
      </c>
      <c r="E55" s="1020">
        <v>410</v>
      </c>
      <c r="F55" s="1120" t="s">
        <v>3350</v>
      </c>
      <c r="G55" s="1401"/>
      <c r="H55" s="1061">
        <f t="shared" si="31"/>
        <v>1035821377</v>
      </c>
      <c r="I55" s="1061">
        <f t="shared" si="32"/>
        <v>1768192303</v>
      </c>
      <c r="J55" s="1401"/>
      <c r="K55" s="1284"/>
      <c r="L55" s="1284"/>
      <c r="M55" s="1115">
        <v>56</v>
      </c>
      <c r="N55" s="1115">
        <v>150</v>
      </c>
      <c r="O55" s="1115">
        <v>84</v>
      </c>
      <c r="P55" s="1115">
        <v>20</v>
      </c>
      <c r="Q55" s="1115">
        <v>100</v>
      </c>
      <c r="R55" s="1115">
        <v>20</v>
      </c>
      <c r="S55" s="1120"/>
      <c r="T55" s="1120"/>
      <c r="U55" s="1120"/>
      <c r="V55" s="1120"/>
      <c r="W55" s="1120"/>
      <c r="X55" s="1120"/>
      <c r="Y55" s="1008">
        <f t="shared" si="33"/>
        <v>2804013680</v>
      </c>
      <c r="Z55" s="944"/>
      <c r="AA55" s="1008"/>
      <c r="AB55" s="1008"/>
      <c r="AC55" s="1008"/>
      <c r="AD55" s="1008"/>
      <c r="AE55" s="1008"/>
      <c r="AF55" s="1008"/>
      <c r="AG55" s="1008"/>
      <c r="AH55" s="1008"/>
      <c r="AI55" s="1008"/>
      <c r="AJ55" s="1008"/>
      <c r="AK55" s="1008"/>
      <c r="AL55" s="1008">
        <f>700000000+2104013680</f>
        <v>2804013680</v>
      </c>
      <c r="AM55" s="1008"/>
      <c r="AN55" s="1008"/>
      <c r="AO55" s="1008"/>
      <c r="AP55" s="1008"/>
      <c r="AQ55" s="1008"/>
      <c r="AR55" s="1008"/>
      <c r="AS55" s="1008"/>
      <c r="AU55" s="1011">
        <f t="shared" si="3"/>
        <v>0.64284704167349138</v>
      </c>
      <c r="AV55" s="1008">
        <f t="shared" si="34"/>
        <v>1802551899</v>
      </c>
      <c r="AW55" s="1008"/>
      <c r="AX55" s="1008"/>
      <c r="AY55" s="1008"/>
      <c r="AZ55" s="1008"/>
      <c r="BA55" s="1008"/>
      <c r="BB55" s="1008"/>
      <c r="BC55" s="1008"/>
      <c r="BD55" s="1008"/>
      <c r="BE55" s="1008"/>
      <c r="BF55" s="1008"/>
      <c r="BG55" s="1008"/>
      <c r="BH55" s="1008"/>
      <c r="BI55" s="1008">
        <f>+'[18]OCTUBRE 2015'!$V$2215</f>
        <v>1802551899</v>
      </c>
      <c r="BJ55" s="1008"/>
      <c r="BK55" s="1008"/>
      <c r="BL55" s="1008"/>
      <c r="BM55" s="1008"/>
      <c r="BN55" s="1008"/>
      <c r="BO55" s="1008"/>
      <c r="BP55" s="1008"/>
      <c r="BQ55" s="1011">
        <f t="shared" si="25"/>
        <v>0.35715295832650862</v>
      </c>
      <c r="BR55" s="1008">
        <f t="shared" si="35"/>
        <v>1001461781</v>
      </c>
      <c r="BS55" s="1008">
        <f t="shared" si="36"/>
        <v>0</v>
      </c>
      <c r="BT55" s="1008">
        <f t="shared" si="52"/>
        <v>0</v>
      </c>
      <c r="BU55" s="1008">
        <f t="shared" si="52"/>
        <v>0</v>
      </c>
      <c r="BV55" s="1008">
        <f t="shared" si="52"/>
        <v>0</v>
      </c>
      <c r="BW55" s="1008"/>
      <c r="BX55" s="1008">
        <f t="shared" si="38"/>
        <v>0</v>
      </c>
      <c r="BY55" s="1008">
        <f t="shared" si="38"/>
        <v>0</v>
      </c>
      <c r="BZ55" s="1008"/>
      <c r="CA55" s="1008"/>
      <c r="CB55" s="1008">
        <f>+AI55-BG55</f>
        <v>0</v>
      </c>
      <c r="CC55" s="1008"/>
      <c r="CD55" s="1008">
        <f t="shared" ref="CD55:CF58" si="54">+AK55-BH55</f>
        <v>0</v>
      </c>
      <c r="CE55" s="1008">
        <f t="shared" si="54"/>
        <v>1001461781</v>
      </c>
      <c r="CF55" s="1008">
        <f t="shared" si="54"/>
        <v>0</v>
      </c>
      <c r="CG55" s="1008"/>
      <c r="CH55" s="1008">
        <f t="shared" ref="CH55:CI58" si="55">+AO55-BL55</f>
        <v>0</v>
      </c>
      <c r="CI55" s="1008">
        <f t="shared" si="55"/>
        <v>0</v>
      </c>
      <c r="CJ55" s="1008"/>
      <c r="CK55" s="1008"/>
      <c r="CL55" s="1008">
        <f t="shared" si="41"/>
        <v>0</v>
      </c>
      <c r="CM55" s="1011">
        <f t="shared" si="13"/>
        <v>0.36940667743104594</v>
      </c>
      <c r="CN55" s="1008">
        <f t="shared" si="42"/>
        <v>1035821377</v>
      </c>
      <c r="CO55" s="1008"/>
      <c r="CP55" s="1008"/>
      <c r="CQ55" s="1008"/>
      <c r="CR55" s="1008"/>
      <c r="CS55" s="1008"/>
      <c r="CT55" s="1008"/>
      <c r="CU55" s="1008"/>
      <c r="CV55" s="1008"/>
      <c r="CW55" s="1008"/>
      <c r="CX55" s="1008"/>
      <c r="CY55" s="1008"/>
      <c r="CZ55" s="1008"/>
      <c r="DA55" s="1008">
        <f>+'[18]OCTUBRE 2015'!$H$2213</f>
        <v>1035821377</v>
      </c>
      <c r="DB55" s="1008"/>
      <c r="DC55" s="1008"/>
      <c r="DD55" s="1008"/>
      <c r="DE55" s="1008"/>
      <c r="DF55" s="1008"/>
      <c r="DG55" s="1008"/>
      <c r="DH55" s="1008"/>
      <c r="DI55" s="1011">
        <f t="shared" si="15"/>
        <v>0.63059332256895406</v>
      </c>
      <c r="DJ55" s="1008">
        <f t="shared" si="43"/>
        <v>1768192303</v>
      </c>
      <c r="DK55" s="1008"/>
      <c r="DL55" s="1008"/>
      <c r="DM55" s="1008"/>
      <c r="DN55" s="1008">
        <f t="shared" si="51"/>
        <v>0</v>
      </c>
      <c r="DO55" s="1008"/>
      <c r="DP55" s="1008">
        <f t="shared" si="45"/>
        <v>0</v>
      </c>
      <c r="DQ55" s="1008">
        <f t="shared" si="45"/>
        <v>0</v>
      </c>
      <c r="DR55" s="1008"/>
      <c r="DS55" s="1008">
        <f t="shared" si="46"/>
        <v>0</v>
      </c>
      <c r="DT55" s="1008">
        <f t="shared" si="46"/>
        <v>0</v>
      </c>
      <c r="DU55" s="1008"/>
      <c r="DV55" s="1008">
        <f t="shared" si="47"/>
        <v>0</v>
      </c>
      <c r="DW55" s="1008">
        <f t="shared" si="47"/>
        <v>1768192303</v>
      </c>
      <c r="DX55" s="1008">
        <f t="shared" si="47"/>
        <v>0</v>
      </c>
      <c r="DY55" s="1008">
        <f t="shared" si="48"/>
        <v>0</v>
      </c>
      <c r="DZ55" s="1008">
        <f t="shared" si="48"/>
        <v>0</v>
      </c>
      <c r="EA55" s="1008">
        <f t="shared" si="48"/>
        <v>0</v>
      </c>
      <c r="EB55" s="1008">
        <f t="shared" si="48"/>
        <v>0</v>
      </c>
      <c r="EC55" s="1008"/>
      <c r="ED55" s="1008">
        <f t="shared" si="49"/>
        <v>0</v>
      </c>
    </row>
    <row r="56" spans="1:135" ht="46.5" customHeight="1" x14ac:dyDescent="0.25">
      <c r="A56" s="1562"/>
      <c r="B56" s="1019" t="s">
        <v>4313</v>
      </c>
      <c r="C56" s="1116" t="s">
        <v>4388</v>
      </c>
      <c r="D56" s="1019" t="s">
        <v>4611</v>
      </c>
      <c r="E56" s="1020">
        <v>410</v>
      </c>
      <c r="F56" s="1120" t="s">
        <v>3350</v>
      </c>
      <c r="G56" s="1399">
        <v>50000000</v>
      </c>
      <c r="H56" s="1061">
        <f t="shared" si="31"/>
        <v>35000000</v>
      </c>
      <c r="I56" s="1061">
        <f t="shared" si="32"/>
        <v>0</v>
      </c>
      <c r="J56" s="1120" t="s">
        <v>4832</v>
      </c>
      <c r="K56" s="1115" t="s">
        <v>4833</v>
      </c>
      <c r="L56" s="1115" t="s">
        <v>4834</v>
      </c>
      <c r="M56" s="1115">
        <v>73</v>
      </c>
      <c r="N56" s="1115">
        <v>0</v>
      </c>
      <c r="O56" s="1115">
        <v>0</v>
      </c>
      <c r="P56" s="1115">
        <v>85</v>
      </c>
      <c r="Q56" s="1115">
        <v>50</v>
      </c>
      <c r="R56" s="1115">
        <v>42</v>
      </c>
      <c r="S56" s="1120"/>
      <c r="T56" s="1120"/>
      <c r="U56" s="1120"/>
      <c r="V56" s="1120"/>
      <c r="W56" s="1120"/>
      <c r="X56" s="1120"/>
      <c r="Y56" s="1008">
        <f t="shared" si="33"/>
        <v>35000000</v>
      </c>
      <c r="Z56" s="944"/>
      <c r="AA56" s="1008"/>
      <c r="AB56" s="1008"/>
      <c r="AC56" s="1008"/>
      <c r="AD56" s="1008"/>
      <c r="AE56" s="1008">
        <v>35000000</v>
      </c>
      <c r="AF56" s="1008"/>
      <c r="AG56" s="1008"/>
      <c r="AH56" s="1008"/>
      <c r="AI56" s="1008"/>
      <c r="AJ56" s="1008"/>
      <c r="AK56" s="1008"/>
      <c r="AL56" s="1008"/>
      <c r="AM56" s="1008"/>
      <c r="AN56" s="1008"/>
      <c r="AO56" s="1008"/>
      <c r="AP56" s="1008"/>
      <c r="AQ56" s="1008"/>
      <c r="AR56" s="1008"/>
      <c r="AS56" s="1008"/>
      <c r="AU56" s="1011">
        <f t="shared" si="3"/>
        <v>1</v>
      </c>
      <c r="AV56" s="1008">
        <f t="shared" si="34"/>
        <v>35000000</v>
      </c>
      <c r="AW56" s="1008"/>
      <c r="AX56" s="1008"/>
      <c r="AY56" s="1008"/>
      <c r="AZ56" s="1008"/>
      <c r="BA56" s="1008"/>
      <c r="BB56" s="1008">
        <f>+'[9]FEBRERO 2015'!$N$658</f>
        <v>35000000</v>
      </c>
      <c r="BC56" s="1008"/>
      <c r="BD56" s="1008"/>
      <c r="BE56" s="1008"/>
      <c r="BF56" s="1008"/>
      <c r="BG56" s="1008"/>
      <c r="BH56" s="1008"/>
      <c r="BI56" s="1008"/>
      <c r="BJ56" s="1008"/>
      <c r="BK56" s="1008"/>
      <c r="BL56" s="1008"/>
      <c r="BM56" s="1008"/>
      <c r="BN56" s="1008"/>
      <c r="BO56" s="1008"/>
      <c r="BP56" s="1008"/>
      <c r="BQ56" s="1011">
        <f t="shared" si="25"/>
        <v>0</v>
      </c>
      <c r="BR56" s="1008">
        <f t="shared" si="35"/>
        <v>0</v>
      </c>
      <c r="BS56" s="1008">
        <f t="shared" si="36"/>
        <v>0</v>
      </c>
      <c r="BT56" s="1008">
        <f t="shared" si="52"/>
        <v>0</v>
      </c>
      <c r="BU56" s="1008">
        <f t="shared" si="52"/>
        <v>0</v>
      </c>
      <c r="BV56" s="1008">
        <f t="shared" si="52"/>
        <v>0</v>
      </c>
      <c r="BW56" s="1008"/>
      <c r="BX56" s="1008">
        <f t="shared" si="38"/>
        <v>0</v>
      </c>
      <c r="BY56" s="1008">
        <f t="shared" si="38"/>
        <v>0</v>
      </c>
      <c r="BZ56" s="1008"/>
      <c r="CA56" s="1008">
        <f>+AH56-BE56</f>
        <v>0</v>
      </c>
      <c r="CB56" s="1008">
        <f>+AI56-BF56</f>
        <v>0</v>
      </c>
      <c r="CC56" s="1008">
        <f>+AJ56-BG56</f>
        <v>0</v>
      </c>
      <c r="CD56" s="1008">
        <f t="shared" si="54"/>
        <v>0</v>
      </c>
      <c r="CE56" s="1008">
        <f t="shared" si="54"/>
        <v>0</v>
      </c>
      <c r="CF56" s="1008">
        <f t="shared" si="54"/>
        <v>0</v>
      </c>
      <c r="CG56" s="1008">
        <f>+AN56-BK56</f>
        <v>0</v>
      </c>
      <c r="CH56" s="1008">
        <f t="shared" si="55"/>
        <v>0</v>
      </c>
      <c r="CI56" s="1008">
        <f t="shared" si="55"/>
        <v>0</v>
      </c>
      <c r="CJ56" s="1008">
        <f>+AQ56-BN56</f>
        <v>0</v>
      </c>
      <c r="CK56" s="1008">
        <f>+AR56-BO56</f>
        <v>0</v>
      </c>
      <c r="CL56" s="1008">
        <f t="shared" si="41"/>
        <v>0</v>
      </c>
      <c r="CM56" s="1011">
        <f t="shared" si="13"/>
        <v>1</v>
      </c>
      <c r="CN56" s="1008">
        <f t="shared" si="42"/>
        <v>35000000</v>
      </c>
      <c r="CO56" s="1008"/>
      <c r="CP56" s="1008"/>
      <c r="CQ56" s="1008"/>
      <c r="CR56" s="1008"/>
      <c r="CS56" s="1008"/>
      <c r="CT56" s="1008">
        <f>+'[17]SEPTIEMBRE 2015'!$H$2273</f>
        <v>35000000</v>
      </c>
      <c r="CU56" s="1008"/>
      <c r="CV56" s="1008"/>
      <c r="CW56" s="1008"/>
      <c r="CX56" s="1008"/>
      <c r="CY56" s="1008"/>
      <c r="CZ56" s="1008"/>
      <c r="DA56" s="1008"/>
      <c r="DB56" s="1008"/>
      <c r="DC56" s="1008"/>
      <c r="DD56" s="1008"/>
      <c r="DE56" s="1008"/>
      <c r="DF56" s="1008"/>
      <c r="DG56" s="1008"/>
      <c r="DH56" s="1008"/>
      <c r="DI56" s="1011">
        <f t="shared" si="15"/>
        <v>0</v>
      </c>
      <c r="DJ56" s="1008">
        <f t="shared" si="43"/>
        <v>0</v>
      </c>
      <c r="DK56" s="1008"/>
      <c r="DL56" s="1008"/>
      <c r="DM56" s="1008"/>
      <c r="DN56" s="1008">
        <f t="shared" si="51"/>
        <v>0</v>
      </c>
      <c r="DO56" s="1008"/>
      <c r="DP56" s="1008">
        <f t="shared" si="45"/>
        <v>0</v>
      </c>
      <c r="DQ56" s="1008">
        <f t="shared" si="45"/>
        <v>0</v>
      </c>
      <c r="DR56" s="1008"/>
      <c r="DS56" s="1008">
        <f t="shared" si="46"/>
        <v>0</v>
      </c>
      <c r="DT56" s="1008">
        <f t="shared" si="46"/>
        <v>0</v>
      </c>
      <c r="DU56" s="1008"/>
      <c r="DV56" s="1008">
        <f t="shared" si="47"/>
        <v>0</v>
      </c>
      <c r="DW56" s="1008">
        <f t="shared" si="47"/>
        <v>0</v>
      </c>
      <c r="DX56" s="1008">
        <f t="shared" si="47"/>
        <v>0</v>
      </c>
      <c r="DY56" s="1008">
        <f t="shared" si="48"/>
        <v>0</v>
      </c>
      <c r="DZ56" s="1008">
        <f t="shared" si="48"/>
        <v>0</v>
      </c>
      <c r="EA56" s="1008">
        <f t="shared" si="48"/>
        <v>0</v>
      </c>
      <c r="EB56" s="1008">
        <f t="shared" si="48"/>
        <v>0</v>
      </c>
      <c r="EC56" s="1008"/>
      <c r="ED56" s="1008">
        <f t="shared" si="49"/>
        <v>0</v>
      </c>
    </row>
    <row r="57" spans="1:135" ht="35.25" customHeight="1" x14ac:dyDescent="0.25">
      <c r="A57" s="1562"/>
      <c r="B57" s="1019"/>
      <c r="C57" s="1116" t="s">
        <v>4556</v>
      </c>
      <c r="D57" s="1019" t="s">
        <v>4612</v>
      </c>
      <c r="E57" s="1020">
        <v>410</v>
      </c>
      <c r="F57" s="1120" t="s">
        <v>3350</v>
      </c>
      <c r="G57" s="1401"/>
      <c r="H57" s="1061">
        <f t="shared" si="31"/>
        <v>14594526</v>
      </c>
      <c r="I57" s="1061">
        <f t="shared" si="32"/>
        <v>405474</v>
      </c>
      <c r="J57" s="1120" t="s">
        <v>4832</v>
      </c>
      <c r="K57" s="1115" t="s">
        <v>4833</v>
      </c>
      <c r="L57" s="1115" t="s">
        <v>4834</v>
      </c>
      <c r="M57" s="1115">
        <v>0</v>
      </c>
      <c r="N57" s="1115">
        <v>100</v>
      </c>
      <c r="O57" s="1115">
        <v>0</v>
      </c>
      <c r="P57" s="1115">
        <v>47</v>
      </c>
      <c r="Q57" s="1115">
        <v>50</v>
      </c>
      <c r="R57" s="1115">
        <v>23</v>
      </c>
      <c r="S57" s="1120"/>
      <c r="T57" s="1120"/>
      <c r="U57" s="1120"/>
      <c r="V57" s="1120"/>
      <c r="W57" s="1120"/>
      <c r="X57" s="1120"/>
      <c r="Y57" s="1008">
        <f t="shared" si="33"/>
        <v>15000000</v>
      </c>
      <c r="Z57" s="944"/>
      <c r="AA57" s="1008"/>
      <c r="AB57" s="1008"/>
      <c r="AC57" s="1008"/>
      <c r="AD57" s="1008"/>
      <c r="AE57" s="1008">
        <v>15000000</v>
      </c>
      <c r="AF57" s="1008"/>
      <c r="AG57" s="1008"/>
      <c r="AH57" s="1008"/>
      <c r="AI57" s="1008"/>
      <c r="AJ57" s="1008"/>
      <c r="AK57" s="1008"/>
      <c r="AL57" s="1008"/>
      <c r="AM57" s="1008"/>
      <c r="AN57" s="1008"/>
      <c r="AO57" s="1008"/>
      <c r="AP57" s="1008"/>
      <c r="AQ57" s="1008"/>
      <c r="AR57" s="1008"/>
      <c r="AS57" s="1008"/>
      <c r="AU57" s="1011">
        <f t="shared" si="3"/>
        <v>0.97296839999999996</v>
      </c>
      <c r="AV57" s="1008">
        <f t="shared" si="34"/>
        <v>14594526</v>
      </c>
      <c r="AW57" s="1008"/>
      <c r="AX57" s="1008"/>
      <c r="AY57" s="1008"/>
      <c r="AZ57" s="1008"/>
      <c r="BA57" s="1008"/>
      <c r="BB57" s="1008">
        <f>+'[18]OCTUBRE 2015'!$O$2659</f>
        <v>14594526</v>
      </c>
      <c r="BC57" s="1008"/>
      <c r="BD57" s="1008"/>
      <c r="BE57" s="1008"/>
      <c r="BF57" s="1008"/>
      <c r="BG57" s="1008"/>
      <c r="BH57" s="1008"/>
      <c r="BI57" s="1008"/>
      <c r="BJ57" s="1008"/>
      <c r="BK57" s="1008"/>
      <c r="BL57" s="1008"/>
      <c r="BM57" s="1008"/>
      <c r="BN57" s="1008"/>
      <c r="BO57" s="1008"/>
      <c r="BP57" s="1008"/>
      <c r="BQ57" s="1011">
        <f t="shared" si="25"/>
        <v>2.7031600000000044E-2</v>
      </c>
      <c r="BR57" s="1008">
        <f t="shared" si="35"/>
        <v>405474</v>
      </c>
      <c r="BS57" s="1008">
        <f t="shared" si="36"/>
        <v>0</v>
      </c>
      <c r="BT57" s="1008"/>
      <c r="BU57" s="1008">
        <f t="shared" si="52"/>
        <v>0</v>
      </c>
      <c r="BV57" s="1008">
        <f t="shared" si="52"/>
        <v>0</v>
      </c>
      <c r="BW57" s="1008"/>
      <c r="BX57" s="1008">
        <f t="shared" si="38"/>
        <v>405474</v>
      </c>
      <c r="BY57" s="1008">
        <f t="shared" si="38"/>
        <v>0</v>
      </c>
      <c r="BZ57" s="1008"/>
      <c r="CA57" s="1008"/>
      <c r="CB57" s="1008">
        <f>+AI57-BF57</f>
        <v>0</v>
      </c>
      <c r="CC57" s="1008"/>
      <c r="CD57" s="1008">
        <f t="shared" si="54"/>
        <v>0</v>
      </c>
      <c r="CE57" s="1008">
        <f t="shared" si="54"/>
        <v>0</v>
      </c>
      <c r="CF57" s="1008">
        <f t="shared" si="54"/>
        <v>0</v>
      </c>
      <c r="CG57" s="1008">
        <f>+AN57-BK57</f>
        <v>0</v>
      </c>
      <c r="CH57" s="1008">
        <f t="shared" si="55"/>
        <v>0</v>
      </c>
      <c r="CI57" s="1008">
        <f t="shared" si="55"/>
        <v>0</v>
      </c>
      <c r="CJ57" s="1008"/>
      <c r="CK57" s="1008"/>
      <c r="CL57" s="1008">
        <f t="shared" si="41"/>
        <v>0</v>
      </c>
      <c r="CM57" s="1011">
        <f t="shared" si="13"/>
        <v>0.97296839999999996</v>
      </c>
      <c r="CN57" s="1008">
        <f t="shared" si="42"/>
        <v>14594526</v>
      </c>
      <c r="CO57" s="1008"/>
      <c r="CP57" s="1008"/>
      <c r="CQ57" s="1008"/>
      <c r="CR57" s="1008"/>
      <c r="CS57" s="1008"/>
      <c r="CT57" s="1008">
        <f>+'[17]SEPTIEMBRE 2015'!$H$2283</f>
        <v>14594526</v>
      </c>
      <c r="CU57" s="1008"/>
      <c r="CV57" s="1008"/>
      <c r="CW57" s="1008"/>
      <c r="CX57" s="1008"/>
      <c r="CY57" s="1008"/>
      <c r="CZ57" s="1008"/>
      <c r="DA57" s="1008"/>
      <c r="DB57" s="1008"/>
      <c r="DC57" s="1008"/>
      <c r="DD57" s="1008"/>
      <c r="DE57" s="1008"/>
      <c r="DF57" s="1008"/>
      <c r="DG57" s="1008"/>
      <c r="DH57" s="1008"/>
      <c r="DI57" s="1011">
        <f t="shared" si="15"/>
        <v>2.7031600000000044E-2</v>
      </c>
      <c r="DJ57" s="1008">
        <f t="shared" si="43"/>
        <v>405474</v>
      </c>
      <c r="DK57" s="1008"/>
      <c r="DL57" s="1008"/>
      <c r="DM57" s="1008"/>
      <c r="DN57" s="1008">
        <f t="shared" si="51"/>
        <v>0</v>
      </c>
      <c r="DO57" s="1008"/>
      <c r="DP57" s="1008">
        <f t="shared" si="45"/>
        <v>405474</v>
      </c>
      <c r="DQ57" s="1008">
        <f t="shared" si="45"/>
        <v>0</v>
      </c>
      <c r="DR57" s="1008"/>
      <c r="DS57" s="1008">
        <f t="shared" si="46"/>
        <v>0</v>
      </c>
      <c r="DT57" s="1008">
        <f t="shared" si="46"/>
        <v>0</v>
      </c>
      <c r="DU57" s="1008"/>
      <c r="DV57" s="1008">
        <f t="shared" si="47"/>
        <v>0</v>
      </c>
      <c r="DW57" s="1008">
        <f t="shared" si="47"/>
        <v>0</v>
      </c>
      <c r="DX57" s="1008">
        <f t="shared" si="47"/>
        <v>0</v>
      </c>
      <c r="DY57" s="1008">
        <f t="shared" si="48"/>
        <v>0</v>
      </c>
      <c r="DZ57" s="1008">
        <f t="shared" si="48"/>
        <v>0</v>
      </c>
      <c r="EA57" s="1008">
        <f t="shared" si="48"/>
        <v>0</v>
      </c>
      <c r="EB57" s="1008">
        <f t="shared" si="48"/>
        <v>0</v>
      </c>
      <c r="EC57" s="1008"/>
      <c r="ED57" s="1008">
        <f t="shared" si="49"/>
        <v>0</v>
      </c>
    </row>
    <row r="58" spans="1:135" ht="42.75" customHeight="1" x14ac:dyDescent="0.25">
      <c r="A58" s="1562"/>
      <c r="B58" s="1019" t="s">
        <v>4314</v>
      </c>
      <c r="C58" s="1116" t="s">
        <v>4389</v>
      </c>
      <c r="D58" s="1019" t="s">
        <v>4328</v>
      </c>
      <c r="E58" s="1020">
        <v>410</v>
      </c>
      <c r="F58" s="1120" t="s">
        <v>4590</v>
      </c>
      <c r="G58" s="1399">
        <v>291000000</v>
      </c>
      <c r="H58" s="1061">
        <f t="shared" si="31"/>
        <v>129011140</v>
      </c>
      <c r="I58" s="1061">
        <f t="shared" si="32"/>
        <v>214252150</v>
      </c>
      <c r="J58" s="1399" t="s">
        <v>4835</v>
      </c>
      <c r="K58" s="1283" t="s">
        <v>4836</v>
      </c>
      <c r="L58" s="1283" t="s">
        <v>4837</v>
      </c>
      <c r="M58" s="1115">
        <v>5</v>
      </c>
      <c r="N58" s="1115">
        <v>100</v>
      </c>
      <c r="O58" s="1115">
        <v>5</v>
      </c>
      <c r="P58" s="1115">
        <v>27</v>
      </c>
      <c r="Q58" s="1115">
        <v>300</v>
      </c>
      <c r="R58" s="1115">
        <v>82</v>
      </c>
      <c r="S58" s="1120"/>
      <c r="T58" s="1120"/>
      <c r="U58" s="1120"/>
      <c r="V58" s="1120"/>
      <c r="W58" s="1120"/>
      <c r="X58" s="1120"/>
      <c r="Y58" s="1008">
        <f t="shared" si="33"/>
        <v>343263290</v>
      </c>
      <c r="Z58" s="944"/>
      <c r="AA58" s="1008"/>
      <c r="AB58" s="1008"/>
      <c r="AC58" s="1008">
        <f>181000000-87736710+250000000</f>
        <v>343263290</v>
      </c>
      <c r="AD58" s="1008"/>
      <c r="AE58" s="1008">
        <f>100000000-100000000</f>
        <v>0</v>
      </c>
      <c r="AF58" s="1008"/>
      <c r="AG58" s="1008"/>
      <c r="AH58" s="1008"/>
      <c r="AI58" s="1008"/>
      <c r="AJ58" s="1008"/>
      <c r="AK58" s="1008"/>
      <c r="AL58" s="1008"/>
      <c r="AM58" s="1008"/>
      <c r="AN58" s="1008"/>
      <c r="AO58" s="1008"/>
      <c r="AP58" s="1008"/>
      <c r="AQ58" s="1008"/>
      <c r="AR58" s="1008"/>
      <c r="AS58" s="1008">
        <f>10455882-10455882</f>
        <v>0</v>
      </c>
      <c r="AU58" s="1011">
        <f t="shared" si="3"/>
        <v>1</v>
      </c>
      <c r="AV58" s="1008">
        <f t="shared" si="34"/>
        <v>343263290</v>
      </c>
      <c r="AW58" s="1008"/>
      <c r="AX58" s="1008"/>
      <c r="AY58" s="1008"/>
      <c r="AZ58" s="1008">
        <f>+'[14]JUNIO 2015'!$M$1391</f>
        <v>343263290</v>
      </c>
      <c r="BA58" s="1008"/>
      <c r="BB58" s="1008"/>
      <c r="BC58" s="1008"/>
      <c r="BD58" s="1008"/>
      <c r="BE58" s="1008"/>
      <c r="BF58" s="1008"/>
      <c r="BG58" s="1008"/>
      <c r="BH58" s="1008"/>
      <c r="BI58" s="1008"/>
      <c r="BJ58" s="1008"/>
      <c r="BK58" s="1008"/>
      <c r="BL58" s="1008"/>
      <c r="BM58" s="1008"/>
      <c r="BN58" s="1008"/>
      <c r="BO58" s="1008"/>
      <c r="BP58" s="1008"/>
      <c r="BQ58" s="1011">
        <f t="shared" si="25"/>
        <v>0</v>
      </c>
      <c r="BR58" s="1008">
        <f t="shared" si="35"/>
        <v>0</v>
      </c>
      <c r="BS58" s="1008">
        <f t="shared" si="36"/>
        <v>0</v>
      </c>
      <c r="BT58" s="1008"/>
      <c r="BU58" s="1008">
        <f t="shared" si="52"/>
        <v>0</v>
      </c>
      <c r="BV58" s="1008">
        <f t="shared" si="52"/>
        <v>0</v>
      </c>
      <c r="BW58" s="1008"/>
      <c r="BX58" s="1008">
        <f t="shared" si="38"/>
        <v>0</v>
      </c>
      <c r="BY58" s="1008">
        <f t="shared" si="38"/>
        <v>0</v>
      </c>
      <c r="BZ58" s="1008"/>
      <c r="CA58" s="1008"/>
      <c r="CB58" s="1008">
        <f>+AI58-BF58</f>
        <v>0</v>
      </c>
      <c r="CC58" s="1008"/>
      <c r="CD58" s="1008">
        <f t="shared" si="54"/>
        <v>0</v>
      </c>
      <c r="CE58" s="1008">
        <f t="shared" si="54"/>
        <v>0</v>
      </c>
      <c r="CF58" s="1008">
        <f t="shared" si="54"/>
        <v>0</v>
      </c>
      <c r="CG58" s="1008">
        <f>+AN58-BK58</f>
        <v>0</v>
      </c>
      <c r="CH58" s="1008">
        <f t="shared" si="55"/>
        <v>0</v>
      </c>
      <c r="CI58" s="1008">
        <f t="shared" si="55"/>
        <v>0</v>
      </c>
      <c r="CJ58" s="1008"/>
      <c r="CK58" s="1008"/>
      <c r="CL58" s="1008">
        <f t="shared" si="41"/>
        <v>0</v>
      </c>
      <c r="CM58" s="1011">
        <f t="shared" si="13"/>
        <v>0.37583727639503778</v>
      </c>
      <c r="CN58" s="1008">
        <f t="shared" si="42"/>
        <v>129011140</v>
      </c>
      <c r="CO58" s="1008"/>
      <c r="CP58" s="1008"/>
      <c r="CQ58" s="1008"/>
      <c r="CR58" s="1008">
        <f>+'[18]OCTUBRE 2015'!$H$2669+'[18]OCTUBRE 2015'!$H$2673</f>
        <v>129011140</v>
      </c>
      <c r="CS58" s="1008"/>
      <c r="CT58" s="1008"/>
      <c r="CU58" s="1008"/>
      <c r="CV58" s="1008"/>
      <c r="CW58" s="1008"/>
      <c r="CX58" s="1008"/>
      <c r="CY58" s="1008"/>
      <c r="CZ58" s="1008"/>
      <c r="DA58" s="1008"/>
      <c r="DB58" s="1008"/>
      <c r="DC58" s="1008"/>
      <c r="DD58" s="1008"/>
      <c r="DE58" s="1008"/>
      <c r="DF58" s="1008"/>
      <c r="DG58" s="1008"/>
      <c r="DH58" s="1008"/>
      <c r="DI58" s="1011">
        <f t="shared" si="15"/>
        <v>0.62416272360496228</v>
      </c>
      <c r="DJ58" s="1008">
        <f t="shared" si="43"/>
        <v>214252150</v>
      </c>
      <c r="DK58" s="1008"/>
      <c r="DL58" s="1008"/>
      <c r="DM58" s="1008"/>
      <c r="DN58" s="1008">
        <f t="shared" si="51"/>
        <v>214252150</v>
      </c>
      <c r="DO58" s="1008"/>
      <c r="DP58" s="1008">
        <f t="shared" si="45"/>
        <v>0</v>
      </c>
      <c r="DQ58" s="1008">
        <f t="shared" si="45"/>
        <v>0</v>
      </c>
      <c r="DR58" s="1008"/>
      <c r="DS58" s="1008">
        <f t="shared" si="46"/>
        <v>0</v>
      </c>
      <c r="DT58" s="1008">
        <f t="shared" si="46"/>
        <v>0</v>
      </c>
      <c r="DU58" s="1008"/>
      <c r="DV58" s="1008">
        <f t="shared" si="47"/>
        <v>0</v>
      </c>
      <c r="DW58" s="1008">
        <f t="shared" si="47"/>
        <v>0</v>
      </c>
      <c r="DX58" s="1008">
        <f t="shared" si="47"/>
        <v>0</v>
      </c>
      <c r="DY58" s="1008">
        <f t="shared" si="48"/>
        <v>0</v>
      </c>
      <c r="DZ58" s="1008">
        <f t="shared" si="48"/>
        <v>0</v>
      </c>
      <c r="EA58" s="1008">
        <f t="shared" si="48"/>
        <v>0</v>
      </c>
      <c r="EB58" s="1008">
        <f t="shared" si="48"/>
        <v>0</v>
      </c>
      <c r="EC58" s="1008"/>
      <c r="ED58" s="1008">
        <f t="shared" si="49"/>
        <v>0</v>
      </c>
    </row>
    <row r="59" spans="1:135" s="203" customFormat="1" ht="37.5" customHeight="1" x14ac:dyDescent="0.25">
      <c r="A59" s="1562"/>
      <c r="B59" s="1019"/>
      <c r="C59" s="1081" t="s">
        <v>4719</v>
      </c>
      <c r="D59" s="1019" t="s">
        <v>4720</v>
      </c>
      <c r="E59" s="1020">
        <v>410</v>
      </c>
      <c r="F59" s="1120" t="s">
        <v>4670</v>
      </c>
      <c r="G59" s="1401"/>
      <c r="H59" s="1061">
        <f t="shared" si="31"/>
        <v>0</v>
      </c>
      <c r="I59" s="1061">
        <f t="shared" si="32"/>
        <v>2000000</v>
      </c>
      <c r="J59" s="1401"/>
      <c r="K59" s="1284"/>
      <c r="L59" s="1284"/>
      <c r="M59" s="1083"/>
      <c r="N59" s="1083"/>
      <c r="O59" s="1083"/>
      <c r="P59" s="1075"/>
      <c r="Q59" s="1075"/>
      <c r="R59" s="1075"/>
      <c r="S59" s="1120"/>
      <c r="T59" s="1120"/>
      <c r="U59" s="1120"/>
      <c r="V59" s="1120"/>
      <c r="W59" s="1120"/>
      <c r="X59" s="1120"/>
      <c r="Y59" s="1067">
        <f t="shared" si="33"/>
        <v>2000000</v>
      </c>
      <c r="Z59" s="149"/>
      <c r="AA59" s="1084"/>
      <c r="AB59" s="1084"/>
      <c r="AC59" s="1067"/>
      <c r="AD59" s="1067"/>
      <c r="AE59" s="1084"/>
      <c r="AF59" s="1067"/>
      <c r="AG59" s="1067"/>
      <c r="AH59" s="1067"/>
      <c r="AI59" s="1067"/>
      <c r="AJ59" s="1067"/>
      <c r="AK59" s="1067"/>
      <c r="AL59" s="1067"/>
      <c r="AM59" s="1067"/>
      <c r="AN59" s="1067"/>
      <c r="AO59" s="1067"/>
      <c r="AP59" s="1067"/>
      <c r="AQ59" s="1067"/>
      <c r="AR59" s="1067"/>
      <c r="AS59" s="1067">
        <f>2000000</f>
        <v>2000000</v>
      </c>
      <c r="AU59" s="1082">
        <f t="shared" si="3"/>
        <v>1</v>
      </c>
      <c r="AV59" s="1067">
        <f t="shared" si="34"/>
        <v>2000000</v>
      </c>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f>+'[15]JULIO 2015'!$G$1634</f>
        <v>2000000</v>
      </c>
      <c r="BQ59" s="1082">
        <f t="shared" si="25"/>
        <v>0</v>
      </c>
      <c r="BR59" s="1067">
        <f t="shared" si="35"/>
        <v>0</v>
      </c>
      <c r="BS59" s="1067"/>
      <c r="BT59" s="1067"/>
      <c r="BU59" s="1067">
        <f t="shared" si="52"/>
        <v>0</v>
      </c>
      <c r="BV59" s="1067"/>
      <c r="BW59" s="1067"/>
      <c r="BX59" s="1067"/>
      <c r="BY59" s="1067"/>
      <c r="BZ59" s="1067"/>
      <c r="CA59" s="1067"/>
      <c r="CB59" s="1067"/>
      <c r="CC59" s="1067"/>
      <c r="CD59" s="1067"/>
      <c r="CE59" s="1067"/>
      <c r="CF59" s="1067"/>
      <c r="CG59" s="1067"/>
      <c r="CH59" s="1067"/>
      <c r="CI59" s="1067"/>
      <c r="CJ59" s="1067"/>
      <c r="CK59" s="1067"/>
      <c r="CL59" s="1067">
        <f t="shared" si="41"/>
        <v>0</v>
      </c>
      <c r="CM59" s="1082">
        <f t="shared" si="13"/>
        <v>0</v>
      </c>
      <c r="CN59" s="1067">
        <f t="shared" si="42"/>
        <v>0</v>
      </c>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82">
        <f t="shared" si="15"/>
        <v>1</v>
      </c>
      <c r="DJ59" s="1067">
        <f t="shared" si="43"/>
        <v>2000000</v>
      </c>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f t="shared" si="49"/>
        <v>2000000</v>
      </c>
    </row>
    <row r="60" spans="1:135" ht="33.75" customHeight="1" x14ac:dyDescent="0.25">
      <c r="A60" s="1562"/>
      <c r="B60" s="1019" t="s">
        <v>4315</v>
      </c>
      <c r="C60" s="1116" t="s">
        <v>4390</v>
      </c>
      <c r="D60" s="1019" t="s">
        <v>4329</v>
      </c>
      <c r="E60" s="1020">
        <v>410</v>
      </c>
      <c r="F60" s="1120" t="s">
        <v>3350</v>
      </c>
      <c r="G60" s="1120">
        <v>300000000</v>
      </c>
      <c r="H60" s="1061">
        <f t="shared" si="31"/>
        <v>214914190</v>
      </c>
      <c r="I60" s="1061">
        <f t="shared" si="32"/>
        <v>7904547</v>
      </c>
      <c r="J60" s="1120" t="s">
        <v>4838</v>
      </c>
      <c r="K60" s="1115" t="s">
        <v>4839</v>
      </c>
      <c r="L60" s="1115" t="s">
        <v>4838</v>
      </c>
      <c r="M60" s="1115">
        <v>23</v>
      </c>
      <c r="N60" s="1115">
        <v>100</v>
      </c>
      <c r="O60" s="1115">
        <v>23</v>
      </c>
      <c r="P60" s="1115">
        <v>78</v>
      </c>
      <c r="Q60" s="1115">
        <v>200</v>
      </c>
      <c r="R60" s="1115">
        <v>155</v>
      </c>
      <c r="S60" s="1120"/>
      <c r="T60" s="1120"/>
      <c r="U60" s="1120"/>
      <c r="V60" s="1120"/>
      <c r="W60" s="1120"/>
      <c r="X60" s="1120"/>
      <c r="Y60" s="1008">
        <f t="shared" si="33"/>
        <v>222818737</v>
      </c>
      <c r="Z60" s="944"/>
      <c r="AA60" s="1017">
        <f>55819123-55819123</f>
        <v>0</v>
      </c>
      <c r="AB60" s="1017"/>
      <c r="AC60" s="1008">
        <f>150000000-21362140</f>
        <v>128637860</v>
      </c>
      <c r="AD60" s="1008"/>
      <c r="AE60" s="1017">
        <f>150000000-55819123+20000000-20000000</f>
        <v>94180877</v>
      </c>
      <c r="AF60" s="944"/>
      <c r="AG60" s="944"/>
      <c r="AH60" s="944"/>
      <c r="AI60" s="1008"/>
      <c r="AJ60" s="1008"/>
      <c r="AK60" s="1008"/>
      <c r="AL60" s="1008"/>
      <c r="AM60" s="1008"/>
      <c r="AN60" s="1008"/>
      <c r="AO60" s="1008"/>
      <c r="AP60" s="1008"/>
      <c r="AQ60" s="1008"/>
      <c r="AR60" s="1008"/>
      <c r="AS60" s="1008"/>
      <c r="AU60" s="1011">
        <f t="shared" si="3"/>
        <v>0.9696859245728513</v>
      </c>
      <c r="AV60" s="1008">
        <f t="shared" si="34"/>
        <v>216064193</v>
      </c>
      <c r="AW60" s="1008"/>
      <c r="AX60" s="1008"/>
      <c r="AY60" s="1008"/>
      <c r="AZ60" s="1008">
        <f>+'[14]JUNIO 2015'!$M$1412</f>
        <v>128637860</v>
      </c>
      <c r="BA60" s="1008"/>
      <c r="BB60" s="1008">
        <f>+'[18]OCTUBRE 2015'!$O$2690</f>
        <v>87426333</v>
      </c>
      <c r="BC60" s="1008"/>
      <c r="BD60" s="1008"/>
      <c r="BE60" s="1008"/>
      <c r="BF60" s="1008"/>
      <c r="BG60" s="1008"/>
      <c r="BH60" s="1008"/>
      <c r="BI60" s="1008"/>
      <c r="BJ60" s="1008"/>
      <c r="BK60" s="1008"/>
      <c r="BL60" s="1008"/>
      <c r="BM60" s="1008"/>
      <c r="BN60" s="1008"/>
      <c r="BO60" s="1008"/>
      <c r="BP60" s="1008"/>
      <c r="BQ60" s="1011">
        <f t="shared" si="25"/>
        <v>3.0314075427148701E-2</v>
      </c>
      <c r="BR60" s="1008">
        <f t="shared" si="35"/>
        <v>6754544</v>
      </c>
      <c r="BS60" s="1008">
        <f t="shared" ref="BS60:BS66" si="56">+Z60-AW60</f>
        <v>0</v>
      </c>
      <c r="BT60" s="1008">
        <f>AA60-AX60</f>
        <v>0</v>
      </c>
      <c r="BU60" s="1008">
        <f t="shared" si="52"/>
        <v>0</v>
      </c>
      <c r="BV60" s="1008">
        <f t="shared" si="52"/>
        <v>0</v>
      </c>
      <c r="BW60" s="1008"/>
      <c r="BX60" s="1008">
        <f t="shared" ref="BX60:BY66" si="57">+AE60-BB60</f>
        <v>6754544</v>
      </c>
      <c r="BY60" s="1008">
        <f t="shared" si="57"/>
        <v>0</v>
      </c>
      <c r="BZ60" s="1008"/>
      <c r="CA60" s="1008"/>
      <c r="CB60" s="1008">
        <f t="shared" ref="CB60:CB66" si="58">+AI60-BF60</f>
        <v>0</v>
      </c>
      <c r="CC60" s="1008"/>
      <c r="CD60" s="1008">
        <f t="shared" ref="CD60:CI66" si="59">+AK60-BH60</f>
        <v>0</v>
      </c>
      <c r="CE60" s="1008">
        <f t="shared" si="59"/>
        <v>0</v>
      </c>
      <c r="CF60" s="1008">
        <f t="shared" si="59"/>
        <v>0</v>
      </c>
      <c r="CG60" s="1008">
        <f t="shared" si="59"/>
        <v>0</v>
      </c>
      <c r="CH60" s="1008">
        <f t="shared" si="59"/>
        <v>0</v>
      </c>
      <c r="CI60" s="1008">
        <f t="shared" si="59"/>
        <v>0</v>
      </c>
      <c r="CJ60" s="1008"/>
      <c r="CK60" s="1008"/>
      <c r="CL60" s="1008">
        <f t="shared" si="41"/>
        <v>0</v>
      </c>
      <c r="CM60" s="1011">
        <f t="shared" si="13"/>
        <v>0.96452476525795938</v>
      </c>
      <c r="CN60" s="1008">
        <f t="shared" si="42"/>
        <v>214914190</v>
      </c>
      <c r="CO60" s="1008"/>
      <c r="CP60" s="1008"/>
      <c r="CQ60" s="1008"/>
      <c r="CR60" s="1008">
        <f>+'[16]AGOSTO 2015'!$H$1852</f>
        <v>128637860</v>
      </c>
      <c r="CS60" s="1008"/>
      <c r="CT60" s="1008">
        <f>+'[17]SEPTIEMBRE 2015'!$H$2314+'[17]SEPTIEMBRE 2015'!$H$2332</f>
        <v>86276330</v>
      </c>
      <c r="CU60" s="1008"/>
      <c r="CV60" s="1008"/>
      <c r="CW60" s="1008"/>
      <c r="CX60" s="1008"/>
      <c r="CY60" s="1008"/>
      <c r="CZ60" s="1008"/>
      <c r="DA60" s="1008"/>
      <c r="DB60" s="1008"/>
      <c r="DC60" s="1008"/>
      <c r="DD60" s="1008"/>
      <c r="DE60" s="1008"/>
      <c r="DF60" s="1008"/>
      <c r="DG60" s="1008"/>
      <c r="DH60" s="1008"/>
      <c r="DI60" s="1011">
        <f t="shared" si="15"/>
        <v>3.5475234742040618E-2</v>
      </c>
      <c r="DJ60" s="1008">
        <f t="shared" si="43"/>
        <v>7904547</v>
      </c>
      <c r="DK60" s="1008"/>
      <c r="DL60" s="1008">
        <f>AA60-CP60</f>
        <v>0</v>
      </c>
      <c r="DM60" s="1008">
        <f>AB60-CQ60</f>
        <v>0</v>
      </c>
      <c r="DN60" s="1008">
        <f>AC60-CR60</f>
        <v>0</v>
      </c>
      <c r="DO60" s="1008"/>
      <c r="DP60" s="1008">
        <f t="shared" ref="DP60:DQ66" si="60">AE60-CT60</f>
        <v>7904547</v>
      </c>
      <c r="DQ60" s="1008">
        <f t="shared" si="60"/>
        <v>0</v>
      </c>
      <c r="DR60" s="1008"/>
      <c r="DS60" s="1008">
        <f t="shared" ref="DS60:DT66" si="61">+AH60-CW60</f>
        <v>0</v>
      </c>
      <c r="DT60" s="1008">
        <f t="shared" si="61"/>
        <v>0</v>
      </c>
      <c r="DU60" s="1008"/>
      <c r="DV60" s="1008">
        <f t="shared" ref="DV60:DX66" si="62">AK60-CZ60</f>
        <v>0</v>
      </c>
      <c r="DW60" s="1008">
        <f t="shared" si="62"/>
        <v>0</v>
      </c>
      <c r="DX60" s="1008">
        <f t="shared" si="62"/>
        <v>0</v>
      </c>
      <c r="DY60" s="1008">
        <f t="shared" ref="DY60:EB66" si="63">+AN60-DC60</f>
        <v>0</v>
      </c>
      <c r="DZ60" s="1008">
        <f t="shared" si="63"/>
        <v>0</v>
      </c>
      <c r="EA60" s="1008">
        <f t="shared" si="63"/>
        <v>0</v>
      </c>
      <c r="EB60" s="1008">
        <f t="shared" si="63"/>
        <v>0</v>
      </c>
      <c r="EC60" s="1008"/>
      <c r="ED60" s="1008">
        <f t="shared" si="49"/>
        <v>0</v>
      </c>
      <c r="EE60" s="948"/>
    </row>
    <row r="61" spans="1:135" ht="25.5" customHeight="1" x14ac:dyDescent="0.25">
      <c r="A61" s="1562"/>
      <c r="B61" s="1019" t="s">
        <v>4316</v>
      </c>
      <c r="C61" s="1116" t="s">
        <v>4391</v>
      </c>
      <c r="D61" s="1019" t="s">
        <v>4330</v>
      </c>
      <c r="E61" s="1020">
        <v>410</v>
      </c>
      <c r="F61" s="1120" t="s">
        <v>4335</v>
      </c>
      <c r="G61" s="1399">
        <v>225000000</v>
      </c>
      <c r="H61" s="1061">
        <f t="shared" si="31"/>
        <v>0</v>
      </c>
      <c r="I61" s="1061">
        <f t="shared" si="32"/>
        <v>5000000</v>
      </c>
      <c r="J61" s="1120" t="s">
        <v>4840</v>
      </c>
      <c r="K61" s="1115" t="s">
        <v>4841</v>
      </c>
      <c r="L61" s="1115" t="s">
        <v>4847</v>
      </c>
      <c r="M61" s="1115">
        <v>0</v>
      </c>
      <c r="N61" s="1115">
        <v>0</v>
      </c>
      <c r="O61" s="1115">
        <v>0</v>
      </c>
      <c r="P61" s="1115">
        <v>0</v>
      </c>
      <c r="Q61" s="1115">
        <v>0</v>
      </c>
      <c r="R61" s="1115">
        <v>0</v>
      </c>
      <c r="S61" s="1120"/>
      <c r="T61" s="1120"/>
      <c r="U61" s="1120"/>
      <c r="V61" s="1120"/>
      <c r="W61" s="1120"/>
      <c r="X61" s="1120"/>
      <c r="Y61" s="1008">
        <f t="shared" si="33"/>
        <v>5000000</v>
      </c>
      <c r="Z61" s="944"/>
      <c r="AA61" s="944"/>
      <c r="AB61" s="944"/>
      <c r="AC61" s="1008"/>
      <c r="AD61" s="1008"/>
      <c r="AE61" s="944"/>
      <c r="AF61" s="944"/>
      <c r="AG61" s="944"/>
      <c r="AH61" s="944"/>
      <c r="AI61" s="1008"/>
      <c r="AJ61" s="1008"/>
      <c r="AK61" s="1008"/>
      <c r="AL61" s="1008"/>
      <c r="AM61" s="1008"/>
      <c r="AN61" s="1008"/>
      <c r="AO61" s="1008"/>
      <c r="AP61" s="1008"/>
      <c r="AQ61" s="1008"/>
      <c r="AR61" s="1008"/>
      <c r="AS61" s="1008">
        <f>5000000</f>
        <v>5000000</v>
      </c>
      <c r="AU61" s="1011">
        <f t="shared" si="3"/>
        <v>1</v>
      </c>
      <c r="AV61" s="1008">
        <f t="shared" si="34"/>
        <v>5000000</v>
      </c>
      <c r="AW61" s="1008"/>
      <c r="AX61" s="1008"/>
      <c r="AY61" s="1008"/>
      <c r="AZ61" s="1008"/>
      <c r="BA61" s="1008"/>
      <c r="BB61" s="1008"/>
      <c r="BC61" s="1008"/>
      <c r="BD61" s="1008"/>
      <c r="BE61" s="1008"/>
      <c r="BF61" s="1008"/>
      <c r="BG61" s="1008"/>
      <c r="BH61" s="1008"/>
      <c r="BI61" s="1008"/>
      <c r="BJ61" s="1008"/>
      <c r="BK61" s="1008"/>
      <c r="BL61" s="1008"/>
      <c r="BM61" s="1008"/>
      <c r="BN61" s="1008"/>
      <c r="BO61" s="1008"/>
      <c r="BP61" s="1008">
        <f>+'[9]FEBRERO 2015'!$AC$685</f>
        <v>5000000</v>
      </c>
      <c r="BQ61" s="1011">
        <f t="shared" si="25"/>
        <v>0</v>
      </c>
      <c r="BR61" s="1008">
        <f t="shared" si="35"/>
        <v>0</v>
      </c>
      <c r="BS61" s="1008">
        <f t="shared" si="56"/>
        <v>0</v>
      </c>
      <c r="BT61" s="1008"/>
      <c r="BU61" s="1008">
        <f t="shared" si="52"/>
        <v>0</v>
      </c>
      <c r="BV61" s="1008">
        <f t="shared" si="52"/>
        <v>0</v>
      </c>
      <c r="BW61" s="1008"/>
      <c r="BX61" s="1008">
        <f t="shared" si="57"/>
        <v>0</v>
      </c>
      <c r="BY61" s="1008">
        <f t="shared" si="57"/>
        <v>0</v>
      </c>
      <c r="BZ61" s="1008"/>
      <c r="CA61" s="1008"/>
      <c r="CB61" s="1008">
        <f t="shared" si="58"/>
        <v>0</v>
      </c>
      <c r="CC61" s="1008"/>
      <c r="CD61" s="1008">
        <f t="shared" si="59"/>
        <v>0</v>
      </c>
      <c r="CE61" s="1008">
        <f t="shared" si="59"/>
        <v>0</v>
      </c>
      <c r="CF61" s="1008">
        <f t="shared" si="59"/>
        <v>0</v>
      </c>
      <c r="CG61" s="1008">
        <f t="shared" si="59"/>
        <v>0</v>
      </c>
      <c r="CH61" s="1008">
        <f t="shared" si="59"/>
        <v>0</v>
      </c>
      <c r="CI61" s="1008">
        <f t="shared" si="59"/>
        <v>0</v>
      </c>
      <c r="CJ61" s="1008"/>
      <c r="CK61" s="1008"/>
      <c r="CL61" s="1008">
        <f t="shared" si="41"/>
        <v>0</v>
      </c>
      <c r="CM61" s="1011">
        <f t="shared" si="13"/>
        <v>0</v>
      </c>
      <c r="CN61" s="1008">
        <f t="shared" si="42"/>
        <v>0</v>
      </c>
      <c r="CO61" s="1008"/>
      <c r="CP61" s="1008"/>
      <c r="CQ61" s="1008"/>
      <c r="CR61" s="1008"/>
      <c r="CS61" s="1008"/>
      <c r="CT61" s="1008"/>
      <c r="CU61" s="1008"/>
      <c r="CV61" s="1008"/>
      <c r="CW61" s="1008"/>
      <c r="CX61" s="1008"/>
      <c r="CY61" s="1008"/>
      <c r="CZ61" s="1008"/>
      <c r="DA61" s="1008"/>
      <c r="DB61" s="1008"/>
      <c r="DC61" s="1008"/>
      <c r="DD61" s="1008"/>
      <c r="DE61" s="1008"/>
      <c r="DF61" s="1008"/>
      <c r="DG61" s="1008"/>
      <c r="DH61" s="1008"/>
      <c r="DI61" s="1011">
        <f t="shared" si="15"/>
        <v>1</v>
      </c>
      <c r="DJ61" s="1008">
        <f t="shared" si="43"/>
        <v>5000000</v>
      </c>
      <c r="DK61" s="1008"/>
      <c r="DL61" s="1008"/>
      <c r="DM61" s="1008"/>
      <c r="DN61" s="1008">
        <f t="shared" ref="DN61:DN66" si="64">AC61-CR61</f>
        <v>0</v>
      </c>
      <c r="DO61" s="1008"/>
      <c r="DP61" s="1008">
        <f t="shared" si="60"/>
        <v>0</v>
      </c>
      <c r="DQ61" s="1008">
        <f t="shared" si="60"/>
        <v>0</v>
      </c>
      <c r="DR61" s="1008"/>
      <c r="DS61" s="1008">
        <f t="shared" si="61"/>
        <v>0</v>
      </c>
      <c r="DT61" s="1008">
        <f t="shared" si="61"/>
        <v>0</v>
      </c>
      <c r="DU61" s="1008"/>
      <c r="DV61" s="1008">
        <f t="shared" si="62"/>
        <v>0</v>
      </c>
      <c r="DW61" s="1008">
        <f t="shared" si="62"/>
        <v>0</v>
      </c>
      <c r="DX61" s="1008">
        <f t="shared" si="62"/>
        <v>0</v>
      </c>
      <c r="DY61" s="1008">
        <f t="shared" si="63"/>
        <v>0</v>
      </c>
      <c r="DZ61" s="1008">
        <f t="shared" si="63"/>
        <v>0</v>
      </c>
      <c r="EA61" s="1008">
        <f t="shared" si="63"/>
        <v>0</v>
      </c>
      <c r="EB61" s="1008">
        <f t="shared" si="63"/>
        <v>0</v>
      </c>
      <c r="EC61" s="1008"/>
      <c r="ED61" s="1008">
        <f t="shared" si="49"/>
        <v>5000000</v>
      </c>
    </row>
    <row r="62" spans="1:135" ht="47.25" customHeight="1" x14ac:dyDescent="0.25">
      <c r="A62" s="1562"/>
      <c r="B62" s="1019"/>
      <c r="C62" s="1116" t="s">
        <v>4392</v>
      </c>
      <c r="D62" s="1019" t="s">
        <v>4337</v>
      </c>
      <c r="E62" s="1020">
        <v>410</v>
      </c>
      <c r="F62" s="1120" t="s">
        <v>4319</v>
      </c>
      <c r="G62" s="1400"/>
      <c r="H62" s="1061">
        <f t="shared" si="31"/>
        <v>52722999</v>
      </c>
      <c r="I62" s="1061">
        <f t="shared" si="32"/>
        <v>37277001</v>
      </c>
      <c r="J62" s="1120" t="s">
        <v>4842</v>
      </c>
      <c r="K62" s="1115" t="s">
        <v>4843</v>
      </c>
      <c r="L62" s="1115" t="s">
        <v>4848</v>
      </c>
      <c r="M62" s="1115">
        <v>13</v>
      </c>
      <c r="N62" s="1115">
        <v>0</v>
      </c>
      <c r="O62" s="1115">
        <v>0</v>
      </c>
      <c r="P62" s="1115">
        <v>18</v>
      </c>
      <c r="Q62" s="1115">
        <v>60</v>
      </c>
      <c r="R62" s="1115">
        <v>11</v>
      </c>
      <c r="S62" s="1120"/>
      <c r="T62" s="1120"/>
      <c r="U62" s="1120"/>
      <c r="V62" s="1120"/>
      <c r="W62" s="1120"/>
      <c r="X62" s="1120"/>
      <c r="Y62" s="1008">
        <f t="shared" si="33"/>
        <v>90000000</v>
      </c>
      <c r="Z62" s="944"/>
      <c r="AA62" s="944"/>
      <c r="AB62" s="944"/>
      <c r="AC62" s="1008"/>
      <c r="AD62" s="1008"/>
      <c r="AE62" s="944"/>
      <c r="AF62" s="944"/>
      <c r="AG62" s="944"/>
      <c r="AH62" s="944"/>
      <c r="AI62" s="1008"/>
      <c r="AJ62" s="1008"/>
      <c r="AK62" s="1008"/>
      <c r="AL62" s="1008"/>
      <c r="AM62" s="1008"/>
      <c r="AN62" s="1008">
        <v>15000000</v>
      </c>
      <c r="AO62" s="1008">
        <f>105000000-30000000</f>
        <v>75000000</v>
      </c>
      <c r="AP62" s="1008"/>
      <c r="AQ62" s="1008"/>
      <c r="AR62" s="1008"/>
      <c r="AS62" s="1008"/>
      <c r="AU62" s="1011">
        <f t="shared" si="3"/>
        <v>1</v>
      </c>
      <c r="AV62" s="1008">
        <f t="shared" si="34"/>
        <v>90000000</v>
      </c>
      <c r="AW62" s="1008"/>
      <c r="AX62" s="1008"/>
      <c r="AY62" s="1008"/>
      <c r="AZ62" s="1008"/>
      <c r="BA62" s="1008"/>
      <c r="BB62" s="1008"/>
      <c r="BC62" s="1008"/>
      <c r="BD62" s="1008"/>
      <c r="BE62" s="1008"/>
      <c r="BF62" s="1008"/>
      <c r="BG62" s="1008"/>
      <c r="BH62" s="1008"/>
      <c r="BI62" s="1008"/>
      <c r="BJ62" s="1008"/>
      <c r="BK62" s="1008">
        <f>+'[8]FEBRERO 2015'!$W$740</f>
        <v>15000000</v>
      </c>
      <c r="BL62" s="1008">
        <f>+'[18]OCTUBRE 2015'!$Y$2724</f>
        <v>75000000</v>
      </c>
      <c r="BM62" s="1008"/>
      <c r="BN62" s="1008"/>
      <c r="BO62" s="1008"/>
      <c r="BP62" s="1008"/>
      <c r="BQ62" s="1011">
        <f t="shared" si="25"/>
        <v>0</v>
      </c>
      <c r="BR62" s="1008">
        <f t="shared" si="35"/>
        <v>0</v>
      </c>
      <c r="BS62" s="1008">
        <f t="shared" si="56"/>
        <v>0</v>
      </c>
      <c r="BT62" s="1008"/>
      <c r="BU62" s="1008">
        <f t="shared" si="52"/>
        <v>0</v>
      </c>
      <c r="BV62" s="1008">
        <f t="shared" si="52"/>
        <v>0</v>
      </c>
      <c r="BW62" s="1008"/>
      <c r="BX62" s="1008">
        <f t="shared" si="57"/>
        <v>0</v>
      </c>
      <c r="BY62" s="1008">
        <f t="shared" si="57"/>
        <v>0</v>
      </c>
      <c r="BZ62" s="1008"/>
      <c r="CA62" s="1008"/>
      <c r="CB62" s="1008">
        <f t="shared" si="58"/>
        <v>0</v>
      </c>
      <c r="CC62" s="1008"/>
      <c r="CD62" s="1008">
        <f t="shared" si="59"/>
        <v>0</v>
      </c>
      <c r="CE62" s="1008">
        <f t="shared" si="59"/>
        <v>0</v>
      </c>
      <c r="CF62" s="1008">
        <f t="shared" si="59"/>
        <v>0</v>
      </c>
      <c r="CG62" s="1008">
        <f t="shared" si="59"/>
        <v>0</v>
      </c>
      <c r="CH62" s="1008">
        <f t="shared" si="59"/>
        <v>0</v>
      </c>
      <c r="CI62" s="1008">
        <f t="shared" si="59"/>
        <v>0</v>
      </c>
      <c r="CJ62" s="1008"/>
      <c r="CK62" s="1008"/>
      <c r="CL62" s="1008">
        <f t="shared" si="41"/>
        <v>0</v>
      </c>
      <c r="CM62" s="1011">
        <f t="shared" si="13"/>
        <v>0.58581110000000003</v>
      </c>
      <c r="CN62" s="1008">
        <f t="shared" si="42"/>
        <v>52722999</v>
      </c>
      <c r="CO62" s="1008"/>
      <c r="CP62" s="1008"/>
      <c r="CQ62" s="1008"/>
      <c r="CR62" s="1008"/>
      <c r="CS62" s="1008"/>
      <c r="CT62" s="1008"/>
      <c r="CU62" s="1008"/>
      <c r="CV62" s="1008"/>
      <c r="CW62" s="1008"/>
      <c r="CX62" s="1008"/>
      <c r="CY62" s="1008"/>
      <c r="CZ62" s="1008"/>
      <c r="DA62" s="1008"/>
      <c r="DB62" s="1008"/>
      <c r="DC62" s="1008">
        <f>+'[11]ABRIL 2015'!$H$1101</f>
        <v>15000000</v>
      </c>
      <c r="DD62" s="1008">
        <f>+'[18]OCTUBRE 2015'!$H$2725+'[18]OCTUBRE 2015'!$H$2734</f>
        <v>37722999</v>
      </c>
      <c r="DE62" s="1008"/>
      <c r="DF62" s="1008"/>
      <c r="DG62" s="1008"/>
      <c r="DH62" s="1008"/>
      <c r="DI62" s="1011">
        <f t="shared" si="15"/>
        <v>0.41418889999999997</v>
      </c>
      <c r="DJ62" s="1008">
        <f t="shared" si="43"/>
        <v>37277001</v>
      </c>
      <c r="DK62" s="1008"/>
      <c r="DL62" s="1008"/>
      <c r="DM62" s="1008"/>
      <c r="DN62" s="1008">
        <f t="shared" si="64"/>
        <v>0</v>
      </c>
      <c r="DO62" s="1008"/>
      <c r="DP62" s="1008">
        <f t="shared" si="60"/>
        <v>0</v>
      </c>
      <c r="DQ62" s="1008">
        <f t="shared" si="60"/>
        <v>0</v>
      </c>
      <c r="DR62" s="1008"/>
      <c r="DS62" s="1008">
        <f t="shared" si="61"/>
        <v>0</v>
      </c>
      <c r="DT62" s="1008">
        <f t="shared" si="61"/>
        <v>0</v>
      </c>
      <c r="DU62" s="1008"/>
      <c r="DV62" s="1008">
        <f t="shared" si="62"/>
        <v>0</v>
      </c>
      <c r="DW62" s="1008">
        <f t="shared" si="62"/>
        <v>0</v>
      </c>
      <c r="DX62" s="1008">
        <f t="shared" si="62"/>
        <v>0</v>
      </c>
      <c r="DY62" s="1008">
        <f t="shared" si="63"/>
        <v>0</v>
      </c>
      <c r="DZ62" s="1008">
        <f t="shared" si="63"/>
        <v>37277001</v>
      </c>
      <c r="EA62" s="1008">
        <f t="shared" si="63"/>
        <v>0</v>
      </c>
      <c r="EB62" s="1008">
        <f t="shared" si="63"/>
        <v>0</v>
      </c>
      <c r="EC62" s="1008"/>
      <c r="ED62" s="1008">
        <f t="shared" si="49"/>
        <v>0</v>
      </c>
    </row>
    <row r="63" spans="1:135" ht="49.5" customHeight="1" x14ac:dyDescent="0.25">
      <c r="A63" s="1562"/>
      <c r="B63" s="1019"/>
      <c r="C63" s="1116" t="s">
        <v>4393</v>
      </c>
      <c r="D63" s="1019" t="s">
        <v>4331</v>
      </c>
      <c r="E63" s="1020">
        <v>410</v>
      </c>
      <c r="F63" s="1120" t="s">
        <v>4319</v>
      </c>
      <c r="G63" s="1400"/>
      <c r="H63" s="1061">
        <f t="shared" si="31"/>
        <v>3078500</v>
      </c>
      <c r="I63" s="1061">
        <f t="shared" si="32"/>
        <v>1921500</v>
      </c>
      <c r="J63" s="1399" t="s">
        <v>4844</v>
      </c>
      <c r="K63" s="1283" t="s">
        <v>4845</v>
      </c>
      <c r="L63" s="1283" t="s">
        <v>4849</v>
      </c>
      <c r="M63" s="1115">
        <v>62</v>
      </c>
      <c r="N63" s="1115">
        <v>100</v>
      </c>
      <c r="O63" s="1115">
        <v>62</v>
      </c>
      <c r="P63" s="1115">
        <v>62</v>
      </c>
      <c r="Q63" s="1115">
        <v>100</v>
      </c>
      <c r="R63" s="1115">
        <v>62</v>
      </c>
      <c r="S63" s="1120"/>
      <c r="T63" s="1120"/>
      <c r="U63" s="1120"/>
      <c r="V63" s="1120"/>
      <c r="W63" s="1120"/>
      <c r="X63" s="1120"/>
      <c r="Y63" s="1008">
        <f t="shared" si="33"/>
        <v>5000000</v>
      </c>
      <c r="Z63" s="944"/>
      <c r="AA63" s="944"/>
      <c r="AB63" s="944"/>
      <c r="AC63" s="1008"/>
      <c r="AD63" s="1008"/>
      <c r="AE63" s="944"/>
      <c r="AF63" s="944"/>
      <c r="AG63" s="944"/>
      <c r="AH63" s="944"/>
      <c r="AI63" s="1008"/>
      <c r="AJ63" s="1008"/>
      <c r="AK63" s="1008"/>
      <c r="AL63" s="1008"/>
      <c r="AM63" s="1008"/>
      <c r="AN63" s="1008"/>
      <c r="AO63" s="1008">
        <v>5000000</v>
      </c>
      <c r="AP63" s="1008"/>
      <c r="AQ63" s="1008"/>
      <c r="AR63" s="1008"/>
      <c r="AS63" s="1008"/>
      <c r="AU63" s="1011">
        <f t="shared" si="3"/>
        <v>1</v>
      </c>
      <c r="AV63" s="1008">
        <f t="shared" si="34"/>
        <v>5000000</v>
      </c>
      <c r="AW63" s="1008"/>
      <c r="AX63" s="1008"/>
      <c r="AY63" s="1008"/>
      <c r="AZ63" s="1008"/>
      <c r="BA63" s="1008"/>
      <c r="BB63" s="1008"/>
      <c r="BC63" s="1008"/>
      <c r="BD63" s="1008"/>
      <c r="BE63" s="1008"/>
      <c r="BF63" s="1008"/>
      <c r="BG63" s="1008"/>
      <c r="BH63" s="1008"/>
      <c r="BI63" s="1008"/>
      <c r="BJ63" s="1008"/>
      <c r="BK63" s="1008"/>
      <c r="BL63" s="1008">
        <f>+'[9]FEBRERO 2015'!$X$695</f>
        <v>5000000</v>
      </c>
      <c r="BM63" s="1008"/>
      <c r="BN63" s="1008"/>
      <c r="BO63" s="1008"/>
      <c r="BP63" s="1008"/>
      <c r="BQ63" s="1011">
        <f t="shared" si="25"/>
        <v>0</v>
      </c>
      <c r="BR63" s="1008">
        <f t="shared" si="35"/>
        <v>0</v>
      </c>
      <c r="BS63" s="1008">
        <f t="shared" si="56"/>
        <v>0</v>
      </c>
      <c r="BT63" s="1008"/>
      <c r="BU63" s="1008">
        <f t="shared" ref="BU63:BV66" si="65">AB63-AY63</f>
        <v>0</v>
      </c>
      <c r="BV63" s="1008">
        <f t="shared" si="65"/>
        <v>0</v>
      </c>
      <c r="BW63" s="1008"/>
      <c r="BX63" s="1008">
        <f t="shared" si="57"/>
        <v>0</v>
      </c>
      <c r="BY63" s="1008">
        <f t="shared" si="57"/>
        <v>0</v>
      </c>
      <c r="BZ63" s="1008"/>
      <c r="CA63" s="1008"/>
      <c r="CB63" s="1008">
        <f t="shared" si="58"/>
        <v>0</v>
      </c>
      <c r="CC63" s="1008"/>
      <c r="CD63" s="1008">
        <f t="shared" si="59"/>
        <v>0</v>
      </c>
      <c r="CE63" s="1008">
        <f t="shared" si="59"/>
        <v>0</v>
      </c>
      <c r="CF63" s="1008">
        <f t="shared" si="59"/>
        <v>0</v>
      </c>
      <c r="CG63" s="1008">
        <f t="shared" si="59"/>
        <v>0</v>
      </c>
      <c r="CH63" s="1008">
        <f t="shared" si="59"/>
        <v>0</v>
      </c>
      <c r="CI63" s="1008">
        <f t="shared" si="59"/>
        <v>0</v>
      </c>
      <c r="CJ63" s="1008"/>
      <c r="CK63" s="1008"/>
      <c r="CL63" s="1008">
        <f t="shared" si="41"/>
        <v>0</v>
      </c>
      <c r="CM63" s="1011">
        <f t="shared" si="13"/>
        <v>0.61570000000000003</v>
      </c>
      <c r="CN63" s="1008">
        <f t="shared" si="42"/>
        <v>3078500</v>
      </c>
      <c r="CO63" s="1008"/>
      <c r="CP63" s="1008"/>
      <c r="CQ63" s="1008"/>
      <c r="CR63" s="1008"/>
      <c r="CS63" s="1008"/>
      <c r="CT63" s="1008"/>
      <c r="CU63" s="1008"/>
      <c r="CV63" s="1008"/>
      <c r="CW63" s="1008"/>
      <c r="CX63" s="1008"/>
      <c r="CY63" s="1008"/>
      <c r="CZ63" s="1008"/>
      <c r="DA63" s="1008"/>
      <c r="DB63" s="1008"/>
      <c r="DC63" s="1008"/>
      <c r="DD63" s="1008">
        <f>+'[11]ABRIL 2015'!$H$1104</f>
        <v>3078500</v>
      </c>
      <c r="DE63" s="1008"/>
      <c r="DF63" s="1008"/>
      <c r="DG63" s="1008"/>
      <c r="DH63" s="1008"/>
      <c r="DI63" s="1011">
        <f t="shared" si="15"/>
        <v>0.38429999999999997</v>
      </c>
      <c r="DJ63" s="1008">
        <f t="shared" si="43"/>
        <v>1921500</v>
      </c>
      <c r="DK63" s="1008"/>
      <c r="DL63" s="1008"/>
      <c r="DM63" s="1008"/>
      <c r="DN63" s="1008">
        <f t="shared" si="64"/>
        <v>0</v>
      </c>
      <c r="DO63" s="1008"/>
      <c r="DP63" s="1008">
        <f t="shared" si="60"/>
        <v>0</v>
      </c>
      <c r="DQ63" s="1008">
        <f t="shared" si="60"/>
        <v>0</v>
      </c>
      <c r="DR63" s="1008"/>
      <c r="DS63" s="1008">
        <f t="shared" si="61"/>
        <v>0</v>
      </c>
      <c r="DT63" s="1008">
        <f t="shared" si="61"/>
        <v>0</v>
      </c>
      <c r="DU63" s="1008"/>
      <c r="DV63" s="1008">
        <f t="shared" si="62"/>
        <v>0</v>
      </c>
      <c r="DW63" s="1008">
        <f t="shared" si="62"/>
        <v>0</v>
      </c>
      <c r="DX63" s="1008">
        <f t="shared" si="62"/>
        <v>0</v>
      </c>
      <c r="DY63" s="1008">
        <f t="shared" si="63"/>
        <v>0</v>
      </c>
      <c r="DZ63" s="1008">
        <f t="shared" si="63"/>
        <v>1921500</v>
      </c>
      <c r="EA63" s="1008">
        <f t="shared" si="63"/>
        <v>0</v>
      </c>
      <c r="EB63" s="1008">
        <f t="shared" si="63"/>
        <v>0</v>
      </c>
      <c r="EC63" s="1008"/>
      <c r="ED63" s="1008">
        <f t="shared" si="49"/>
        <v>0</v>
      </c>
    </row>
    <row r="64" spans="1:135" ht="51" customHeight="1" x14ac:dyDescent="0.25">
      <c r="A64" s="1562"/>
      <c r="B64" s="1019"/>
      <c r="C64" s="1116" t="s">
        <v>4394</v>
      </c>
      <c r="D64" s="1019" t="s">
        <v>4820</v>
      </c>
      <c r="E64" s="1020">
        <v>410</v>
      </c>
      <c r="F64" s="1120" t="s">
        <v>4733</v>
      </c>
      <c r="G64" s="1400"/>
      <c r="H64" s="1061">
        <f t="shared" si="31"/>
        <v>22799959</v>
      </c>
      <c r="I64" s="1061">
        <f t="shared" si="32"/>
        <v>44474801</v>
      </c>
      <c r="J64" s="1401"/>
      <c r="K64" s="1284"/>
      <c r="L64" s="1284"/>
      <c r="M64" s="1115">
        <v>6</v>
      </c>
      <c r="N64" s="1115">
        <v>0</v>
      </c>
      <c r="O64" s="1115">
        <v>0</v>
      </c>
      <c r="P64" s="1115">
        <v>19</v>
      </c>
      <c r="Q64" s="1115">
        <v>0</v>
      </c>
      <c r="R64" s="1115">
        <v>0</v>
      </c>
      <c r="S64" s="1120"/>
      <c r="T64" s="1120"/>
      <c r="U64" s="1120"/>
      <c r="V64" s="1120"/>
      <c r="W64" s="1120"/>
      <c r="X64" s="1120"/>
      <c r="Y64" s="1008">
        <f t="shared" si="33"/>
        <v>67274760</v>
      </c>
      <c r="Z64" s="944"/>
      <c r="AA64" s="944"/>
      <c r="AB64" s="944"/>
      <c r="AC64" s="944"/>
      <c r="AD64" s="944"/>
      <c r="AE64" s="944"/>
      <c r="AF64" s="944"/>
      <c r="AG64" s="944"/>
      <c r="AH64" s="944"/>
      <c r="AI64" s="1008"/>
      <c r="AJ64" s="1008"/>
      <c r="AK64" s="1008"/>
      <c r="AL64" s="1008"/>
      <c r="AM64" s="1008"/>
      <c r="AN64" s="1008">
        <v>15000000</v>
      </c>
      <c r="AO64" s="1008">
        <f>55000000-10000000</f>
        <v>45000000</v>
      </c>
      <c r="AP64" s="1008"/>
      <c r="AQ64" s="1008"/>
      <c r="AR64" s="1008"/>
      <c r="AS64" s="1008">
        <f>4000000+3274760</f>
        <v>7274760</v>
      </c>
      <c r="AU64" s="1011">
        <f t="shared" si="3"/>
        <v>0.99995540675284456</v>
      </c>
      <c r="AV64" s="1008">
        <f t="shared" si="34"/>
        <v>67271760</v>
      </c>
      <c r="AW64" s="1008"/>
      <c r="AX64" s="1008"/>
      <c r="AY64" s="1008"/>
      <c r="AZ64" s="1008"/>
      <c r="BA64" s="1008"/>
      <c r="BB64" s="1008"/>
      <c r="BC64" s="1008"/>
      <c r="BD64" s="1008"/>
      <c r="BE64" s="1008"/>
      <c r="BF64" s="1008"/>
      <c r="BG64" s="1008"/>
      <c r="BH64" s="1008"/>
      <c r="BI64" s="1008"/>
      <c r="BJ64" s="1008"/>
      <c r="BK64" s="1008">
        <f>+'[8]FEBRERO 2015'!$W$753</f>
        <v>15000000</v>
      </c>
      <c r="BL64" s="1008">
        <f>+'[14]JUNIO 2015'!$Y$1453</f>
        <v>45000000</v>
      </c>
      <c r="BM64" s="1008"/>
      <c r="BN64" s="1008"/>
      <c r="BO64" s="1008"/>
      <c r="BP64" s="1008">
        <f>+'[17]SEPTIEMBRE 2015'!$AD$2368</f>
        <v>7271760</v>
      </c>
      <c r="BQ64" s="1011">
        <f t="shared" si="25"/>
        <v>4.4593247155444438E-5</v>
      </c>
      <c r="BR64" s="1008">
        <f t="shared" si="35"/>
        <v>3000</v>
      </c>
      <c r="BS64" s="1008">
        <f t="shared" si="56"/>
        <v>0</v>
      </c>
      <c r="BT64" s="1008"/>
      <c r="BU64" s="1008">
        <f t="shared" si="65"/>
        <v>0</v>
      </c>
      <c r="BV64" s="1008">
        <f t="shared" si="65"/>
        <v>0</v>
      </c>
      <c r="BW64" s="1008"/>
      <c r="BX64" s="1008">
        <f t="shared" si="57"/>
        <v>0</v>
      </c>
      <c r="BY64" s="1008">
        <f t="shared" si="57"/>
        <v>0</v>
      </c>
      <c r="BZ64" s="1008"/>
      <c r="CA64" s="1008"/>
      <c r="CB64" s="1008">
        <f t="shared" si="58"/>
        <v>0</v>
      </c>
      <c r="CC64" s="1008"/>
      <c r="CD64" s="1008">
        <f t="shared" si="59"/>
        <v>0</v>
      </c>
      <c r="CE64" s="1008">
        <f t="shared" si="59"/>
        <v>0</v>
      </c>
      <c r="CF64" s="1008">
        <f t="shared" si="59"/>
        <v>0</v>
      </c>
      <c r="CG64" s="1008">
        <f t="shared" si="59"/>
        <v>0</v>
      </c>
      <c r="CH64" s="1008">
        <f t="shared" si="59"/>
        <v>0</v>
      </c>
      <c r="CI64" s="1008">
        <f t="shared" si="59"/>
        <v>0</v>
      </c>
      <c r="CJ64" s="1008"/>
      <c r="CK64" s="1008"/>
      <c r="CL64" s="1008">
        <f t="shared" si="41"/>
        <v>3000</v>
      </c>
      <c r="CM64" s="1011">
        <f t="shared" si="13"/>
        <v>0.33890806893997094</v>
      </c>
      <c r="CN64" s="1008">
        <f t="shared" si="42"/>
        <v>22799959</v>
      </c>
      <c r="CO64" s="1008"/>
      <c r="CP64" s="1008"/>
      <c r="CQ64" s="1008"/>
      <c r="CR64" s="1008"/>
      <c r="CS64" s="1008"/>
      <c r="CT64" s="1008"/>
      <c r="CU64" s="1008"/>
      <c r="CV64" s="1008"/>
      <c r="CW64" s="1008"/>
      <c r="CX64" s="1008"/>
      <c r="CY64" s="1008"/>
      <c r="CZ64" s="1008"/>
      <c r="DA64" s="1008"/>
      <c r="DB64" s="1008"/>
      <c r="DC64" s="1008">
        <f>+'[18]OCTUBRE 2015'!$H$2760</f>
        <v>15000000</v>
      </c>
      <c r="DD64" s="1008">
        <f>+'[18]OCTUBRE 2015'!$H$2750</f>
        <v>7799959</v>
      </c>
      <c r="DE64" s="1008"/>
      <c r="DF64" s="1008"/>
      <c r="DG64" s="1008"/>
      <c r="DH64" s="1008"/>
      <c r="DI64" s="1011">
        <f t="shared" si="15"/>
        <v>0.66109193106002906</v>
      </c>
      <c r="DJ64" s="1008">
        <f t="shared" si="43"/>
        <v>44474801</v>
      </c>
      <c r="DK64" s="1008"/>
      <c r="DL64" s="1008"/>
      <c r="DM64" s="1008"/>
      <c r="DN64" s="1008">
        <f t="shared" si="64"/>
        <v>0</v>
      </c>
      <c r="DO64" s="1008"/>
      <c r="DP64" s="1008">
        <f t="shared" si="60"/>
        <v>0</v>
      </c>
      <c r="DQ64" s="1008">
        <f t="shared" si="60"/>
        <v>0</v>
      </c>
      <c r="DR64" s="1008"/>
      <c r="DS64" s="1008">
        <f t="shared" si="61"/>
        <v>0</v>
      </c>
      <c r="DT64" s="1008">
        <f t="shared" si="61"/>
        <v>0</v>
      </c>
      <c r="DU64" s="1008"/>
      <c r="DV64" s="1008">
        <f t="shared" si="62"/>
        <v>0</v>
      </c>
      <c r="DW64" s="1008">
        <f t="shared" si="62"/>
        <v>0</v>
      </c>
      <c r="DX64" s="1008">
        <f t="shared" si="62"/>
        <v>0</v>
      </c>
      <c r="DY64" s="1008">
        <f t="shared" si="63"/>
        <v>0</v>
      </c>
      <c r="DZ64" s="1008">
        <f t="shared" si="63"/>
        <v>37200041</v>
      </c>
      <c r="EA64" s="1008">
        <f t="shared" si="63"/>
        <v>0</v>
      </c>
      <c r="EB64" s="1008">
        <f t="shared" si="63"/>
        <v>0</v>
      </c>
      <c r="EC64" s="1008"/>
      <c r="ED64" s="1008">
        <f t="shared" si="49"/>
        <v>7274760</v>
      </c>
    </row>
    <row r="65" spans="1:134" ht="51" customHeight="1" x14ac:dyDescent="0.25">
      <c r="A65" s="1562"/>
      <c r="B65" s="1019"/>
      <c r="C65" s="1116" t="s">
        <v>4395</v>
      </c>
      <c r="D65" s="1019" t="s">
        <v>4332</v>
      </c>
      <c r="E65" s="1020">
        <v>410</v>
      </c>
      <c r="F65" s="1120" t="s">
        <v>4319</v>
      </c>
      <c r="G65" s="1400"/>
      <c r="H65" s="1061">
        <f t="shared" si="31"/>
        <v>35578029</v>
      </c>
      <c r="I65" s="1061">
        <f t="shared" si="32"/>
        <v>4421971</v>
      </c>
      <c r="J65" s="1399" t="s">
        <v>4846</v>
      </c>
      <c r="K65" s="1283" t="s">
        <v>4846</v>
      </c>
      <c r="L65" s="1283" t="s">
        <v>4846</v>
      </c>
      <c r="M65" s="1115">
        <v>37</v>
      </c>
      <c r="N65" s="1115">
        <v>0</v>
      </c>
      <c r="O65" s="1115">
        <v>0</v>
      </c>
      <c r="P65" s="1115">
        <v>49</v>
      </c>
      <c r="Q65" s="1115">
        <v>100</v>
      </c>
      <c r="R65" s="1115">
        <v>49</v>
      </c>
      <c r="S65" s="1120"/>
      <c r="T65" s="1120"/>
      <c r="U65" s="1120"/>
      <c r="V65" s="1120"/>
      <c r="W65" s="1120"/>
      <c r="X65" s="1120"/>
      <c r="Y65" s="1008">
        <f t="shared" si="33"/>
        <v>40000000</v>
      </c>
      <c r="Z65" s="944"/>
      <c r="AA65" s="944"/>
      <c r="AB65" s="944"/>
      <c r="AC65" s="944"/>
      <c r="AD65" s="944"/>
      <c r="AE65" s="944"/>
      <c r="AF65" s="944"/>
      <c r="AG65" s="944"/>
      <c r="AH65" s="944"/>
      <c r="AI65" s="1008"/>
      <c r="AJ65" s="1008"/>
      <c r="AK65" s="1008"/>
      <c r="AL65" s="1008"/>
      <c r="AM65" s="1008">
        <v>21280016</v>
      </c>
      <c r="AN65" s="1008">
        <v>15000000</v>
      </c>
      <c r="AO65" s="1008">
        <f>13719984-10000000</f>
        <v>3719984</v>
      </c>
      <c r="AP65" s="1008"/>
      <c r="AQ65" s="1008"/>
      <c r="AR65" s="1008"/>
      <c r="AS65" s="1008"/>
      <c r="AU65" s="1011">
        <f t="shared" si="3"/>
        <v>1</v>
      </c>
      <c r="AV65" s="1008">
        <f t="shared" si="34"/>
        <v>40000000</v>
      </c>
      <c r="AW65" s="1008"/>
      <c r="AX65" s="1008"/>
      <c r="AY65" s="1008"/>
      <c r="AZ65" s="1008"/>
      <c r="BA65" s="1008"/>
      <c r="BB65" s="1008"/>
      <c r="BC65" s="1008"/>
      <c r="BD65" s="1008"/>
      <c r="BE65" s="1008"/>
      <c r="BF65" s="1008"/>
      <c r="BG65" s="1008"/>
      <c r="BH65" s="1008"/>
      <c r="BI65" s="1008"/>
      <c r="BJ65" s="1008">
        <f>+'[18]OCTUBRE 2015'!$W$2790</f>
        <v>21280016</v>
      </c>
      <c r="BK65" s="1008">
        <f>+'[8]FEBRERO 2015'!$W$759</f>
        <v>15000000</v>
      </c>
      <c r="BL65" s="1008">
        <v>3719984</v>
      </c>
      <c r="BM65" s="1008"/>
      <c r="BN65" s="1008"/>
      <c r="BO65" s="1008"/>
      <c r="BP65" s="1008"/>
      <c r="BQ65" s="1011">
        <f t="shared" si="25"/>
        <v>0</v>
      </c>
      <c r="BR65" s="1008">
        <f t="shared" si="35"/>
        <v>0</v>
      </c>
      <c r="BS65" s="1008">
        <f t="shared" si="56"/>
        <v>0</v>
      </c>
      <c r="BT65" s="1008"/>
      <c r="BU65" s="1008">
        <f t="shared" si="65"/>
        <v>0</v>
      </c>
      <c r="BV65" s="1008">
        <f t="shared" si="65"/>
        <v>0</v>
      </c>
      <c r="BW65" s="1008"/>
      <c r="BX65" s="1008">
        <f t="shared" si="57"/>
        <v>0</v>
      </c>
      <c r="BY65" s="1008">
        <f t="shared" si="57"/>
        <v>0</v>
      </c>
      <c r="BZ65" s="1008"/>
      <c r="CA65" s="1008"/>
      <c r="CB65" s="1008">
        <f t="shared" si="58"/>
        <v>0</v>
      </c>
      <c r="CC65" s="1008"/>
      <c r="CD65" s="1008">
        <f t="shared" si="59"/>
        <v>0</v>
      </c>
      <c r="CE65" s="1008">
        <f t="shared" si="59"/>
        <v>0</v>
      </c>
      <c r="CF65" s="1008">
        <f t="shared" si="59"/>
        <v>0</v>
      </c>
      <c r="CG65" s="1008">
        <f t="shared" si="59"/>
        <v>0</v>
      </c>
      <c r="CH65" s="1008">
        <f t="shared" si="59"/>
        <v>0</v>
      </c>
      <c r="CI65" s="1008">
        <f t="shared" si="59"/>
        <v>0</v>
      </c>
      <c r="CJ65" s="1008"/>
      <c r="CK65" s="1008"/>
      <c r="CL65" s="1008">
        <f t="shared" si="41"/>
        <v>0</v>
      </c>
      <c r="CM65" s="1011">
        <f t="shared" si="13"/>
        <v>0.889450725</v>
      </c>
      <c r="CN65" s="1008">
        <f t="shared" si="42"/>
        <v>35578029</v>
      </c>
      <c r="CO65" s="1008"/>
      <c r="CP65" s="1008"/>
      <c r="CQ65" s="1008"/>
      <c r="CR65" s="1008"/>
      <c r="CS65" s="1008"/>
      <c r="CT65" s="1008"/>
      <c r="CU65" s="1008"/>
      <c r="CV65" s="1008"/>
      <c r="CW65" s="1008"/>
      <c r="CX65" s="1008"/>
      <c r="CY65" s="1008"/>
      <c r="CZ65" s="1008"/>
      <c r="DA65" s="1008"/>
      <c r="DB65" s="1008">
        <f>+'[18]OCTUBRE 2015'!$H$2791+'[18]OCTUBRE 2015'!$H$2800</f>
        <v>20578029</v>
      </c>
      <c r="DC65" s="1008">
        <f>+'[17]SEPTIEMBRE 2015'!$H$2405</f>
        <v>15000000</v>
      </c>
      <c r="DD65" s="1008"/>
      <c r="DE65" s="1008"/>
      <c r="DF65" s="1008"/>
      <c r="DG65" s="1008"/>
      <c r="DH65" s="1008"/>
      <c r="DI65" s="1011">
        <f t="shared" si="15"/>
        <v>0.110549275</v>
      </c>
      <c r="DJ65" s="1008">
        <f t="shared" si="43"/>
        <v>4421971</v>
      </c>
      <c r="DK65" s="1008"/>
      <c r="DL65" s="1008"/>
      <c r="DM65" s="1008"/>
      <c r="DN65" s="1008">
        <f t="shared" si="64"/>
        <v>0</v>
      </c>
      <c r="DO65" s="1008"/>
      <c r="DP65" s="1008">
        <f t="shared" si="60"/>
        <v>0</v>
      </c>
      <c r="DQ65" s="1008">
        <f t="shared" si="60"/>
        <v>0</v>
      </c>
      <c r="DR65" s="1008"/>
      <c r="DS65" s="1008">
        <f t="shared" si="61"/>
        <v>0</v>
      </c>
      <c r="DT65" s="1008">
        <f t="shared" si="61"/>
        <v>0</v>
      </c>
      <c r="DU65" s="1008"/>
      <c r="DV65" s="1008">
        <f t="shared" si="62"/>
        <v>0</v>
      </c>
      <c r="DW65" s="1008">
        <f t="shared" si="62"/>
        <v>0</v>
      </c>
      <c r="DX65" s="1008">
        <f t="shared" si="62"/>
        <v>701987</v>
      </c>
      <c r="DY65" s="1008">
        <f t="shared" si="63"/>
        <v>0</v>
      </c>
      <c r="DZ65" s="1008">
        <f t="shared" si="63"/>
        <v>3719984</v>
      </c>
      <c r="EA65" s="1008">
        <f t="shared" si="63"/>
        <v>0</v>
      </c>
      <c r="EB65" s="1008">
        <f t="shared" si="63"/>
        <v>0</v>
      </c>
      <c r="EC65" s="1008"/>
      <c r="ED65" s="1008">
        <f t="shared" si="49"/>
        <v>0</v>
      </c>
    </row>
    <row r="66" spans="1:134" ht="50.25" customHeight="1" x14ac:dyDescent="0.25">
      <c r="A66" s="1564"/>
      <c r="B66" s="1019"/>
      <c r="C66" s="1116" t="s">
        <v>4396</v>
      </c>
      <c r="D66" s="1019" t="s">
        <v>4333</v>
      </c>
      <c r="E66" s="1020">
        <v>410</v>
      </c>
      <c r="F66" s="1120" t="s">
        <v>4334</v>
      </c>
      <c r="G66" s="1401"/>
      <c r="H66" s="1061">
        <f t="shared" si="31"/>
        <v>15389000</v>
      </c>
      <c r="I66" s="1061">
        <f t="shared" si="32"/>
        <v>1048254</v>
      </c>
      <c r="J66" s="1401"/>
      <c r="K66" s="1284"/>
      <c r="L66" s="1284"/>
      <c r="M66" s="1115">
        <v>39</v>
      </c>
      <c r="N66" s="1115">
        <v>35</v>
      </c>
      <c r="O66" s="1115">
        <v>14</v>
      </c>
      <c r="P66" s="1115">
        <v>49</v>
      </c>
      <c r="Q66" s="1115">
        <v>35</v>
      </c>
      <c r="R66" s="1115">
        <v>17</v>
      </c>
      <c r="S66" s="1120"/>
      <c r="T66" s="1120"/>
      <c r="U66" s="1120"/>
      <c r="V66" s="1120"/>
      <c r="W66" s="1120"/>
      <c r="X66" s="1120"/>
      <c r="Y66" s="1008">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8">
        <f>20437254-4000000</f>
        <v>16437254</v>
      </c>
      <c r="AU66" s="1011">
        <f t="shared" si="3"/>
        <v>1</v>
      </c>
      <c r="AV66" s="1008">
        <f t="shared" si="34"/>
        <v>16437254</v>
      </c>
      <c r="AW66" s="1008"/>
      <c r="AX66" s="1008"/>
      <c r="AY66" s="1008"/>
      <c r="AZ66" s="1008"/>
      <c r="BA66" s="1008"/>
      <c r="BB66" s="1008"/>
      <c r="BC66" s="1008"/>
      <c r="BD66" s="1008"/>
      <c r="BE66" s="1008"/>
      <c r="BF66" s="1008"/>
      <c r="BG66" s="1008"/>
      <c r="BH66" s="1008"/>
      <c r="BI66" s="1008"/>
      <c r="BJ66" s="1008"/>
      <c r="BK66" s="1008"/>
      <c r="BL66" s="1008"/>
      <c r="BM66" s="1008"/>
      <c r="BN66" s="1008"/>
      <c r="BO66" s="1008"/>
      <c r="BP66" s="1008">
        <v>16437254</v>
      </c>
      <c r="BQ66" s="1011">
        <f t="shared" si="25"/>
        <v>0</v>
      </c>
      <c r="BR66" s="1008">
        <f t="shared" si="35"/>
        <v>0</v>
      </c>
      <c r="BS66" s="1008">
        <f t="shared" si="56"/>
        <v>0</v>
      </c>
      <c r="BT66" s="1008"/>
      <c r="BU66" s="1008">
        <f t="shared" si="65"/>
        <v>0</v>
      </c>
      <c r="BV66" s="1008">
        <f t="shared" si="65"/>
        <v>0</v>
      </c>
      <c r="BW66" s="1008"/>
      <c r="BX66" s="1008">
        <f t="shared" si="57"/>
        <v>0</v>
      </c>
      <c r="BY66" s="1008">
        <f t="shared" si="57"/>
        <v>0</v>
      </c>
      <c r="BZ66" s="1008"/>
      <c r="CA66" s="1008">
        <f>+AH66-BE66</f>
        <v>0</v>
      </c>
      <c r="CB66" s="1008">
        <f t="shared" si="58"/>
        <v>0</v>
      </c>
      <c r="CC66" s="1008">
        <f>+AJ66-BG66</f>
        <v>0</v>
      </c>
      <c r="CD66" s="1008">
        <f t="shared" si="59"/>
        <v>0</v>
      </c>
      <c r="CE66" s="1008">
        <f t="shared" si="59"/>
        <v>0</v>
      </c>
      <c r="CF66" s="1008">
        <f t="shared" si="59"/>
        <v>0</v>
      </c>
      <c r="CG66" s="1008">
        <f t="shared" si="59"/>
        <v>0</v>
      </c>
      <c r="CH66" s="1008">
        <f t="shared" si="59"/>
        <v>0</v>
      </c>
      <c r="CI66" s="1008">
        <f t="shared" si="59"/>
        <v>0</v>
      </c>
      <c r="CJ66" s="1008">
        <f>+AQ66-BN66</f>
        <v>0</v>
      </c>
      <c r="CK66" s="1008">
        <f>+AR66-BO66</f>
        <v>0</v>
      </c>
      <c r="CL66" s="1008">
        <f t="shared" si="41"/>
        <v>0</v>
      </c>
      <c r="CM66" s="1011">
        <f t="shared" si="13"/>
        <v>0.93622693912255661</v>
      </c>
      <c r="CN66" s="1008">
        <f t="shared" si="42"/>
        <v>15389000</v>
      </c>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f>+'[18]OCTUBRE 2015'!$H$2806</f>
        <v>15389000</v>
      </c>
      <c r="DI66" s="1011">
        <f t="shared" si="15"/>
        <v>6.3773060877443388E-2</v>
      </c>
      <c r="DJ66" s="1008">
        <f t="shared" si="43"/>
        <v>1048254</v>
      </c>
      <c r="DK66" s="1008"/>
      <c r="DL66" s="1008">
        <f>AA66-CP66</f>
        <v>0</v>
      </c>
      <c r="DM66" s="1008"/>
      <c r="DN66" s="1008">
        <f t="shared" si="64"/>
        <v>0</v>
      </c>
      <c r="DO66" s="1008"/>
      <c r="DP66" s="1008">
        <f t="shared" si="60"/>
        <v>0</v>
      </c>
      <c r="DQ66" s="1008">
        <f t="shared" si="60"/>
        <v>0</v>
      </c>
      <c r="DR66" s="1008"/>
      <c r="DS66" s="1008">
        <f t="shared" si="61"/>
        <v>0</v>
      </c>
      <c r="DT66" s="1008">
        <f t="shared" si="61"/>
        <v>0</v>
      </c>
      <c r="DU66" s="1008"/>
      <c r="DV66" s="1008">
        <f t="shared" si="62"/>
        <v>0</v>
      </c>
      <c r="DW66" s="1008">
        <f t="shared" si="62"/>
        <v>0</v>
      </c>
      <c r="DX66" s="1008">
        <f t="shared" si="62"/>
        <v>0</v>
      </c>
      <c r="DY66" s="1008">
        <f t="shared" si="63"/>
        <v>0</v>
      </c>
      <c r="DZ66" s="1008">
        <f t="shared" si="63"/>
        <v>0</v>
      </c>
      <c r="EA66" s="1008">
        <f t="shared" si="63"/>
        <v>0</v>
      </c>
      <c r="EB66" s="1008">
        <f t="shared" si="63"/>
        <v>0</v>
      </c>
      <c r="EC66" s="1008"/>
      <c r="ED66" s="1008">
        <f t="shared" si="49"/>
        <v>1048254</v>
      </c>
    </row>
    <row r="67" spans="1:134" s="948" customFormat="1" ht="22.5" customHeight="1" thickBot="1" x14ac:dyDescent="0.3">
      <c r="A67" s="1056"/>
      <c r="B67" s="1553" t="s">
        <v>4338</v>
      </c>
      <c r="C67" s="1553"/>
      <c r="D67" s="1553"/>
      <c r="E67" s="1553"/>
      <c r="F67" s="1051"/>
      <c r="G67" s="1009">
        <f>SUM(G35:G66)</f>
        <v>4593000000</v>
      </c>
      <c r="H67" s="1009">
        <f>SUM(H35:H66)</f>
        <v>3906305329</v>
      </c>
      <c r="I67" s="1009">
        <f>SUM(I35:I66)</f>
        <v>2629487400</v>
      </c>
      <c r="J67" s="1055"/>
      <c r="K67" s="1079"/>
      <c r="L67" s="1079"/>
      <c r="M67" s="1074"/>
      <c r="N67" s="1074"/>
      <c r="O67" s="1074"/>
      <c r="P67" s="1079"/>
      <c r="Q67" s="1079"/>
      <c r="R67" s="1079"/>
      <c r="S67" s="1055"/>
      <c r="T67" s="1055"/>
      <c r="U67" s="1055"/>
      <c r="V67" s="1055"/>
      <c r="W67" s="1055"/>
      <c r="X67" s="1055"/>
      <c r="Y67" s="1009">
        <f t="shared" ref="Y67:AS67" si="66">SUM(Y35:Y66)</f>
        <v>6535792729</v>
      </c>
      <c r="Z67" s="1009">
        <f t="shared" si="66"/>
        <v>0</v>
      </c>
      <c r="AA67" s="1009">
        <f t="shared" si="66"/>
        <v>134533656</v>
      </c>
      <c r="AB67" s="1009">
        <f t="shared" si="66"/>
        <v>396726534</v>
      </c>
      <c r="AC67" s="1009">
        <f t="shared" si="66"/>
        <v>775722031</v>
      </c>
      <c r="AD67" s="1009">
        <f t="shared" si="66"/>
        <v>0</v>
      </c>
      <c r="AE67" s="1009">
        <f t="shared" si="66"/>
        <v>544180877</v>
      </c>
      <c r="AF67" s="1009">
        <f t="shared" si="66"/>
        <v>55000000</v>
      </c>
      <c r="AG67" s="1009">
        <f t="shared" si="66"/>
        <v>102810569</v>
      </c>
      <c r="AH67" s="1009">
        <f t="shared" si="66"/>
        <v>219471348</v>
      </c>
      <c r="AI67" s="1009">
        <f t="shared" si="66"/>
        <v>0</v>
      </c>
      <c r="AJ67" s="1009">
        <f t="shared" si="66"/>
        <v>0</v>
      </c>
      <c r="AK67" s="1009">
        <f t="shared" si="66"/>
        <v>0</v>
      </c>
      <c r="AL67" s="1009">
        <f t="shared" si="66"/>
        <v>3504013680</v>
      </c>
      <c r="AM67" s="1009">
        <f t="shared" si="66"/>
        <v>78609139</v>
      </c>
      <c r="AN67" s="1009">
        <f t="shared" si="66"/>
        <v>251718083</v>
      </c>
      <c r="AO67" s="1009">
        <f t="shared" si="66"/>
        <v>311973650</v>
      </c>
      <c r="AP67" s="1009">
        <f t="shared" si="66"/>
        <v>0</v>
      </c>
      <c r="AQ67" s="1009">
        <f t="shared" si="66"/>
        <v>80844085</v>
      </c>
      <c r="AR67" s="1009">
        <f t="shared" si="66"/>
        <v>0</v>
      </c>
      <c r="AS67" s="1009">
        <f t="shared" si="66"/>
        <v>80189077</v>
      </c>
      <c r="AU67" s="1012">
        <f t="shared" si="3"/>
        <v>0.81595654989749911</v>
      </c>
      <c r="AV67" s="1009">
        <f t="shared" ref="AV67:BP67" si="67">SUM(AV35:AV66)</f>
        <v>5332922886</v>
      </c>
      <c r="AW67" s="1009">
        <f t="shared" si="67"/>
        <v>0</v>
      </c>
      <c r="AX67" s="1009">
        <f t="shared" si="67"/>
        <v>127311678</v>
      </c>
      <c r="AY67" s="1009">
        <f t="shared" si="67"/>
        <v>364926534</v>
      </c>
      <c r="AZ67" s="1009">
        <f t="shared" si="67"/>
        <v>775722031</v>
      </c>
      <c r="BA67" s="1009">
        <f t="shared" si="67"/>
        <v>0</v>
      </c>
      <c r="BB67" s="1009">
        <f t="shared" si="67"/>
        <v>488016550</v>
      </c>
      <c r="BC67" s="1009">
        <f t="shared" si="67"/>
        <v>55000000</v>
      </c>
      <c r="BD67" s="1009">
        <f t="shared" si="67"/>
        <v>102810569</v>
      </c>
      <c r="BE67" s="1009">
        <f t="shared" si="67"/>
        <v>219471348</v>
      </c>
      <c r="BF67" s="1009">
        <f t="shared" si="67"/>
        <v>0</v>
      </c>
      <c r="BG67" s="1009">
        <f t="shared" si="67"/>
        <v>0</v>
      </c>
      <c r="BH67" s="1009">
        <f t="shared" si="67"/>
        <v>0</v>
      </c>
      <c r="BI67" s="1009">
        <f t="shared" si="67"/>
        <v>2411831294</v>
      </c>
      <c r="BJ67" s="1009">
        <f t="shared" si="67"/>
        <v>78609139</v>
      </c>
      <c r="BK67" s="1009">
        <f t="shared" si="67"/>
        <v>251718083</v>
      </c>
      <c r="BL67" s="1009">
        <f t="shared" si="67"/>
        <v>311973590</v>
      </c>
      <c r="BM67" s="1009">
        <f t="shared" si="67"/>
        <v>0</v>
      </c>
      <c r="BN67" s="1009">
        <f t="shared" si="67"/>
        <v>80844085</v>
      </c>
      <c r="BO67" s="1009">
        <f t="shared" si="67"/>
        <v>0</v>
      </c>
      <c r="BP67" s="1009">
        <f t="shared" si="67"/>
        <v>64687985</v>
      </c>
      <c r="BQ67" s="1012">
        <f t="shared" si="25"/>
        <v>0.18404345010250089</v>
      </c>
      <c r="BR67" s="1009">
        <f t="shared" ref="BR67:CL67" si="68">SUM(BR35:BR66)</f>
        <v>1202869843</v>
      </c>
      <c r="BS67" s="1009">
        <f t="shared" si="68"/>
        <v>0</v>
      </c>
      <c r="BT67" s="1009">
        <f t="shared" si="68"/>
        <v>7221978</v>
      </c>
      <c r="BU67" s="1009">
        <f t="shared" si="68"/>
        <v>31800000</v>
      </c>
      <c r="BV67" s="1009">
        <f t="shared" si="68"/>
        <v>0</v>
      </c>
      <c r="BW67" s="1009">
        <f t="shared" si="68"/>
        <v>0</v>
      </c>
      <c r="BX67" s="1009">
        <f t="shared" si="68"/>
        <v>56164327</v>
      </c>
      <c r="BY67" s="1009">
        <f t="shared" si="68"/>
        <v>0</v>
      </c>
      <c r="BZ67" s="1009">
        <f t="shared" si="68"/>
        <v>0</v>
      </c>
      <c r="CA67" s="1009">
        <f t="shared" si="68"/>
        <v>0</v>
      </c>
      <c r="CB67" s="1009">
        <f t="shared" si="68"/>
        <v>0</v>
      </c>
      <c r="CC67" s="1009">
        <f t="shared" si="68"/>
        <v>0</v>
      </c>
      <c r="CD67" s="1009">
        <f t="shared" si="68"/>
        <v>0</v>
      </c>
      <c r="CE67" s="1009">
        <f t="shared" si="68"/>
        <v>1092182386</v>
      </c>
      <c r="CF67" s="1009">
        <f t="shared" si="68"/>
        <v>0</v>
      </c>
      <c r="CG67" s="1009">
        <f t="shared" si="68"/>
        <v>0</v>
      </c>
      <c r="CH67" s="1009">
        <f t="shared" si="68"/>
        <v>60</v>
      </c>
      <c r="CI67" s="1009">
        <f t="shared" si="68"/>
        <v>0</v>
      </c>
      <c r="CJ67" s="1009">
        <f t="shared" si="68"/>
        <v>0</v>
      </c>
      <c r="CK67" s="1009">
        <f t="shared" si="68"/>
        <v>0</v>
      </c>
      <c r="CL67" s="1009">
        <f t="shared" si="68"/>
        <v>15501092</v>
      </c>
      <c r="CM67" s="1012">
        <f t="shared" si="13"/>
        <v>0.59767888777551226</v>
      </c>
      <c r="CN67" s="1009">
        <f t="shared" ref="CN67:ED67" si="69">SUM(CN35:CN66)</f>
        <v>3906305329</v>
      </c>
      <c r="CO67" s="1009">
        <f t="shared" si="69"/>
        <v>0</v>
      </c>
      <c r="CP67" s="1009">
        <f t="shared" si="69"/>
        <v>127311678</v>
      </c>
      <c r="CQ67" s="1009">
        <f t="shared" si="69"/>
        <v>364926534</v>
      </c>
      <c r="CR67" s="1009">
        <f t="shared" si="69"/>
        <v>561469881</v>
      </c>
      <c r="CS67" s="1009">
        <f t="shared" si="69"/>
        <v>0</v>
      </c>
      <c r="CT67" s="1009">
        <f t="shared" si="69"/>
        <v>461643323</v>
      </c>
      <c r="CU67" s="1009">
        <f t="shared" si="69"/>
        <v>55000000</v>
      </c>
      <c r="CV67" s="1009">
        <f t="shared" si="69"/>
        <v>102810569</v>
      </c>
      <c r="CW67" s="1009">
        <f t="shared" si="69"/>
        <v>129471348</v>
      </c>
      <c r="CX67" s="1009">
        <f t="shared" si="69"/>
        <v>0</v>
      </c>
      <c r="CY67" s="1009">
        <f t="shared" si="69"/>
        <v>0</v>
      </c>
      <c r="CZ67" s="1009">
        <f t="shared" si="69"/>
        <v>0</v>
      </c>
      <c r="DA67" s="1009">
        <f t="shared" si="69"/>
        <v>1537936337</v>
      </c>
      <c r="DB67" s="1009">
        <f t="shared" si="69"/>
        <v>74817818</v>
      </c>
      <c r="DC67" s="1009">
        <f t="shared" si="69"/>
        <v>226625653</v>
      </c>
      <c r="DD67" s="1009">
        <f t="shared" si="69"/>
        <v>189662203</v>
      </c>
      <c r="DE67" s="1009">
        <f t="shared" si="69"/>
        <v>0</v>
      </c>
      <c r="DF67" s="1009">
        <f t="shared" si="69"/>
        <v>32548551</v>
      </c>
      <c r="DG67" s="1009">
        <f t="shared" si="69"/>
        <v>0</v>
      </c>
      <c r="DH67" s="1009">
        <f t="shared" si="69"/>
        <v>42081434</v>
      </c>
      <c r="DI67" s="1012">
        <f t="shared" ref="DI67:DI104" si="70">1-CM67</f>
        <v>0.40232111222448774</v>
      </c>
      <c r="DJ67" s="1009">
        <f t="shared" si="69"/>
        <v>2629487400</v>
      </c>
      <c r="DK67" s="1009">
        <f t="shared" si="69"/>
        <v>0</v>
      </c>
      <c r="DL67" s="1009">
        <f t="shared" si="69"/>
        <v>7221978</v>
      </c>
      <c r="DM67" s="1009">
        <f t="shared" si="69"/>
        <v>31800000</v>
      </c>
      <c r="DN67" s="1009">
        <f t="shared" si="69"/>
        <v>214252150</v>
      </c>
      <c r="DO67" s="1009">
        <f t="shared" si="69"/>
        <v>0</v>
      </c>
      <c r="DP67" s="1009">
        <f t="shared" si="69"/>
        <v>82537554</v>
      </c>
      <c r="DQ67" s="1009">
        <f t="shared" si="69"/>
        <v>0</v>
      </c>
      <c r="DR67" s="1009">
        <f t="shared" si="69"/>
        <v>0</v>
      </c>
      <c r="DS67" s="1009">
        <f t="shared" si="69"/>
        <v>90000000</v>
      </c>
      <c r="DT67" s="1009">
        <f t="shared" si="69"/>
        <v>0</v>
      </c>
      <c r="DU67" s="1009">
        <f t="shared" si="69"/>
        <v>0</v>
      </c>
      <c r="DV67" s="1009">
        <f t="shared" si="69"/>
        <v>0</v>
      </c>
      <c r="DW67" s="1009">
        <f t="shared" si="69"/>
        <v>1966077343</v>
      </c>
      <c r="DX67" s="1009">
        <f t="shared" si="69"/>
        <v>3791321</v>
      </c>
      <c r="DY67" s="1009">
        <f t="shared" si="69"/>
        <v>25092430</v>
      </c>
      <c r="DZ67" s="1009">
        <f t="shared" si="69"/>
        <v>122311447</v>
      </c>
      <c r="EA67" s="1009">
        <f t="shared" si="69"/>
        <v>0</v>
      </c>
      <c r="EB67" s="1009">
        <f t="shared" si="69"/>
        <v>48295534</v>
      </c>
      <c r="EC67" s="1009">
        <f t="shared" si="69"/>
        <v>0</v>
      </c>
      <c r="ED67" s="1044">
        <f t="shared" si="69"/>
        <v>38107643</v>
      </c>
    </row>
    <row r="68" spans="1:134" ht="66.75" customHeight="1" thickTop="1" x14ac:dyDescent="0.25">
      <c r="A68" s="1565" t="s">
        <v>4756</v>
      </c>
      <c r="B68" s="1019" t="s">
        <v>4340</v>
      </c>
      <c r="C68" s="1116" t="s">
        <v>4405</v>
      </c>
      <c r="D68" s="1019" t="s">
        <v>4344</v>
      </c>
      <c r="E68" s="1020">
        <v>520</v>
      </c>
      <c r="F68" s="1120" t="s">
        <v>4732</v>
      </c>
      <c r="G68" s="1563">
        <v>331000000</v>
      </c>
      <c r="H68" s="1061">
        <f t="shared" ref="H68:H103" si="71">+CN68</f>
        <v>2000000</v>
      </c>
      <c r="I68" s="1061">
        <f t="shared" ref="I68:I99" si="72">Y68-H68</f>
        <v>1000000</v>
      </c>
      <c r="J68" s="1120" t="s">
        <v>4850</v>
      </c>
      <c r="K68" s="1115" t="s">
        <v>4854</v>
      </c>
      <c r="L68" s="1115" t="s">
        <v>4860</v>
      </c>
      <c r="M68" s="1115">
        <v>0</v>
      </c>
      <c r="N68" s="1115">
        <v>0</v>
      </c>
      <c r="O68" s="1115">
        <v>0</v>
      </c>
      <c r="P68" s="1115">
        <v>0</v>
      </c>
      <c r="Q68" s="1115">
        <v>0</v>
      </c>
      <c r="R68" s="1115">
        <v>0</v>
      </c>
      <c r="S68" s="1120"/>
      <c r="T68" s="1120"/>
      <c r="U68" s="1120"/>
      <c r="V68" s="1120"/>
      <c r="W68" s="1120"/>
      <c r="X68" s="1120"/>
      <c r="Y68" s="1008">
        <f t="shared" ref="Y68:Y103" si="73">SUM(Z68:AS68)</f>
        <v>3000000</v>
      </c>
      <c r="Z68" s="944"/>
      <c r="AA68" s="1008"/>
      <c r="AB68" s="1008"/>
      <c r="AC68" s="1008"/>
      <c r="AD68" s="1008"/>
      <c r="AE68" s="1008"/>
      <c r="AF68" s="1008"/>
      <c r="AG68" s="1008"/>
      <c r="AH68" s="1008"/>
      <c r="AI68" s="1008"/>
      <c r="AJ68" s="1008"/>
      <c r="AK68" s="1008"/>
      <c r="AL68" s="1008"/>
      <c r="AM68" s="1008"/>
      <c r="AN68" s="1008"/>
      <c r="AO68" s="1008"/>
      <c r="AP68" s="1008"/>
      <c r="AQ68" s="1008"/>
      <c r="AR68" s="1008"/>
      <c r="AS68" s="1008">
        <f>2000000+1000000</f>
        <v>3000000</v>
      </c>
      <c r="AU68" s="1619">
        <f t="shared" ref="AU68:AU104" si="74">+AV68/Y68</f>
        <v>0.66666666666666663</v>
      </c>
      <c r="AV68" s="1008">
        <f t="shared" ref="AV68:AV103" si="75">SUM(AW68:BP68)</f>
        <v>2000000</v>
      </c>
      <c r="AW68" s="1008"/>
      <c r="AX68" s="1008"/>
      <c r="AY68" s="1008"/>
      <c r="AZ68" s="1008"/>
      <c r="BA68" s="1008"/>
      <c r="BB68" s="1008"/>
      <c r="BC68" s="1008"/>
      <c r="BD68" s="1008"/>
      <c r="BE68" s="1008"/>
      <c r="BF68" s="1008"/>
      <c r="BG68" s="1008"/>
      <c r="BH68" s="1008"/>
      <c r="BI68" s="1008"/>
      <c r="BJ68" s="1008"/>
      <c r="BK68" s="1008"/>
      <c r="BL68" s="1008"/>
      <c r="BM68" s="1008"/>
      <c r="BN68" s="1008"/>
      <c r="BO68" s="1008"/>
      <c r="BP68" s="1008">
        <f>+'[17]SEPTIEMBRE 2015'!$G$2914</f>
        <v>2000000</v>
      </c>
      <c r="BQ68" s="1619">
        <f t="shared" si="25"/>
        <v>0.33333333333333337</v>
      </c>
      <c r="BR68" s="1008">
        <f t="shared" ref="BR68:BR103" si="76">SUM(BS68:CL68)</f>
        <v>1000000</v>
      </c>
      <c r="BS68" s="1008">
        <f t="shared" ref="BS68:BS103" si="77">+Z68-AW68</f>
        <v>0</v>
      </c>
      <c r="BT68" s="1008">
        <f t="shared" ref="BT68:BT103" si="78">AA68-AX68</f>
        <v>0</v>
      </c>
      <c r="BU68" s="1008"/>
      <c r="BV68" s="1008">
        <f t="shared" ref="BV68:BV103" si="79">AC68-AZ68</f>
        <v>0</v>
      </c>
      <c r="BW68" s="1008"/>
      <c r="BX68" s="1008">
        <f t="shared" ref="BX68:BY103" si="80">+AE68-BB68</f>
        <v>0</v>
      </c>
      <c r="BY68" s="1008">
        <f t="shared" si="80"/>
        <v>0</v>
      </c>
      <c r="BZ68" s="1008"/>
      <c r="CA68" s="1008">
        <f t="shared" ref="CA68:CI83" si="81">+AH68-BE68</f>
        <v>0</v>
      </c>
      <c r="CB68" s="1008">
        <f t="shared" si="81"/>
        <v>0</v>
      </c>
      <c r="CC68" s="1008">
        <f t="shared" si="81"/>
        <v>0</v>
      </c>
      <c r="CD68" s="1008">
        <f t="shared" si="81"/>
        <v>0</v>
      </c>
      <c r="CE68" s="1008">
        <f t="shared" si="81"/>
        <v>0</v>
      </c>
      <c r="CF68" s="1008">
        <f t="shared" si="81"/>
        <v>0</v>
      </c>
      <c r="CG68" s="1008">
        <f t="shared" si="81"/>
        <v>0</v>
      </c>
      <c r="CH68" s="1008">
        <f t="shared" si="81"/>
        <v>0</v>
      </c>
      <c r="CI68" s="1008">
        <f t="shared" si="81"/>
        <v>0</v>
      </c>
      <c r="CJ68" s="1008"/>
      <c r="CK68" s="1008"/>
      <c r="CL68" s="1008">
        <f t="shared" ref="CL68:CL103" si="82">+AS68-BP68</f>
        <v>1000000</v>
      </c>
      <c r="CM68" s="1619">
        <f t="shared" ref="CM68:CM104" si="83">+CN68/Y68</f>
        <v>0.66666666666666663</v>
      </c>
      <c r="CN68" s="1008">
        <f t="shared" ref="CN68:CN103" si="84">SUM(CO68:DH68)</f>
        <v>2000000</v>
      </c>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f>+'[18]OCTUBRE 2015'!$H$3360</f>
        <v>2000000</v>
      </c>
      <c r="DI68" s="1011">
        <f t="shared" si="70"/>
        <v>0.33333333333333337</v>
      </c>
      <c r="DJ68" s="1008">
        <f t="shared" ref="DJ68:DJ103" si="85">SUM(DK68:ED68)</f>
        <v>1000000</v>
      </c>
      <c r="DK68" s="1008"/>
      <c r="DL68" s="1008"/>
      <c r="DM68" s="1008"/>
      <c r="DN68" s="1008">
        <f t="shared" ref="DN68:DN103" si="86">AC68-CR68</f>
        <v>0</v>
      </c>
      <c r="DO68" s="1008"/>
      <c r="DP68" s="1008">
        <f t="shared" ref="DP68:DQ103" si="87">AE68-CT68</f>
        <v>0</v>
      </c>
      <c r="DQ68" s="1008">
        <f t="shared" si="87"/>
        <v>0</v>
      </c>
      <c r="DR68" s="1008"/>
      <c r="DS68" s="1008">
        <f t="shared" ref="DS68:DT103" si="88">+AH68-CW68</f>
        <v>0</v>
      </c>
      <c r="DT68" s="1008">
        <f t="shared" si="88"/>
        <v>0</v>
      </c>
      <c r="DU68" s="1008"/>
      <c r="DV68" s="1008">
        <f t="shared" ref="DV68:DX103" si="89">AK68-CZ68</f>
        <v>0</v>
      </c>
      <c r="DW68" s="1008">
        <f t="shared" si="89"/>
        <v>0</v>
      </c>
      <c r="DX68" s="1008">
        <f t="shared" si="89"/>
        <v>0</v>
      </c>
      <c r="DY68" s="1008">
        <f t="shared" ref="DY68:EB103" si="90">+AN68-DC68</f>
        <v>0</v>
      </c>
      <c r="DZ68" s="1008">
        <f t="shared" si="90"/>
        <v>0</v>
      </c>
      <c r="EA68" s="1008">
        <f t="shared" si="90"/>
        <v>0</v>
      </c>
      <c r="EB68" s="1008">
        <f t="shared" si="90"/>
        <v>0</v>
      </c>
      <c r="EC68" s="1008"/>
      <c r="ED68" s="1008">
        <f t="shared" ref="ED68:ED103" si="91">+AS68-DH68</f>
        <v>1000000</v>
      </c>
    </row>
    <row r="69" spans="1:134" ht="30.75" customHeight="1" x14ac:dyDescent="0.25">
      <c r="A69" s="1565"/>
      <c r="B69" s="1019"/>
      <c r="C69" s="1116" t="s">
        <v>4406</v>
      </c>
      <c r="D69" s="1019" t="s">
        <v>4341</v>
      </c>
      <c r="E69" s="1020">
        <v>520</v>
      </c>
      <c r="F69" s="1120" t="s">
        <v>3350</v>
      </c>
      <c r="G69" s="1400"/>
      <c r="H69" s="1061">
        <f t="shared" si="71"/>
        <v>25414205</v>
      </c>
      <c r="I69" s="1061">
        <f t="shared" si="72"/>
        <v>4585795</v>
      </c>
      <c r="J69" s="1399" t="s">
        <v>4851</v>
      </c>
      <c r="K69" s="1283" t="s">
        <v>4855</v>
      </c>
      <c r="L69" s="1283" t="s">
        <v>4861</v>
      </c>
      <c r="M69" s="1115">
        <v>13</v>
      </c>
      <c r="N69" s="1115">
        <v>10</v>
      </c>
      <c r="O69" s="1115">
        <v>1</v>
      </c>
      <c r="P69" s="1115">
        <v>24</v>
      </c>
      <c r="Q69" s="1115">
        <v>20</v>
      </c>
      <c r="R69" s="1115">
        <v>5</v>
      </c>
      <c r="S69" s="1120"/>
      <c r="T69" s="1120"/>
      <c r="U69" s="1120"/>
      <c r="V69" s="1120"/>
      <c r="W69" s="1120"/>
      <c r="X69" s="1120"/>
      <c r="Y69" s="1008">
        <f t="shared" si="73"/>
        <v>30000000</v>
      </c>
      <c r="Z69" s="1008"/>
      <c r="AA69" s="1008"/>
      <c r="AB69" s="1008"/>
      <c r="AC69" s="1008"/>
      <c r="AD69" s="1008"/>
      <c r="AE69" s="1008">
        <f>50000000-20000000</f>
        <v>30000000</v>
      </c>
      <c r="AF69" s="1008"/>
      <c r="AG69" s="1008"/>
      <c r="AH69" s="1008"/>
      <c r="AI69" s="1008"/>
      <c r="AJ69" s="1008"/>
      <c r="AK69" s="1008"/>
      <c r="AL69" s="1008"/>
      <c r="AM69" s="1008"/>
      <c r="AN69" s="1008"/>
      <c r="AO69" s="1008"/>
      <c r="AP69" s="1008"/>
      <c r="AQ69" s="1008"/>
      <c r="AR69" s="1008"/>
      <c r="AS69" s="1008"/>
      <c r="AU69" s="1011">
        <f t="shared" si="74"/>
        <v>1</v>
      </c>
      <c r="AV69" s="1008">
        <f t="shared" si="75"/>
        <v>30000000</v>
      </c>
      <c r="AW69" s="1008"/>
      <c r="AX69" s="1008"/>
      <c r="AY69" s="1008"/>
      <c r="AZ69" s="1008"/>
      <c r="BA69" s="1008"/>
      <c r="BB69" s="1008">
        <f>+'[9]FEBRERO 2015'!$N$1017-20000000</f>
        <v>30000000</v>
      </c>
      <c r="BC69" s="1008"/>
      <c r="BD69" s="1008"/>
      <c r="BE69" s="1008"/>
      <c r="BF69" s="1008"/>
      <c r="BG69" s="1008"/>
      <c r="BH69" s="1008"/>
      <c r="BI69" s="1008"/>
      <c r="BJ69" s="1008"/>
      <c r="BK69" s="1008"/>
      <c r="BL69" s="1008"/>
      <c r="BM69" s="1008"/>
      <c r="BN69" s="1008"/>
      <c r="BO69" s="1008"/>
      <c r="BP69" s="1008"/>
      <c r="BQ69" s="1011">
        <f t="shared" si="25"/>
        <v>0</v>
      </c>
      <c r="BR69" s="1008">
        <f t="shared" si="76"/>
        <v>0</v>
      </c>
      <c r="BS69" s="1008">
        <f t="shared" si="77"/>
        <v>0</v>
      </c>
      <c r="BT69" s="1008">
        <f t="shared" si="78"/>
        <v>0</v>
      </c>
      <c r="BU69" s="1008"/>
      <c r="BV69" s="1008">
        <f t="shared" si="79"/>
        <v>0</v>
      </c>
      <c r="BW69" s="1008"/>
      <c r="BX69" s="1008">
        <f t="shared" si="80"/>
        <v>0</v>
      </c>
      <c r="BY69" s="1008">
        <f t="shared" si="80"/>
        <v>0</v>
      </c>
      <c r="BZ69" s="1008"/>
      <c r="CA69" s="1008"/>
      <c r="CB69" s="1008">
        <f t="shared" si="81"/>
        <v>0</v>
      </c>
      <c r="CC69" s="1008"/>
      <c r="CD69" s="1008">
        <f t="shared" si="81"/>
        <v>0</v>
      </c>
      <c r="CE69" s="1008">
        <f t="shared" si="81"/>
        <v>0</v>
      </c>
      <c r="CF69" s="1008">
        <f t="shared" si="81"/>
        <v>0</v>
      </c>
      <c r="CG69" s="1008">
        <f t="shared" si="81"/>
        <v>0</v>
      </c>
      <c r="CH69" s="1008">
        <f t="shared" si="81"/>
        <v>0</v>
      </c>
      <c r="CI69" s="1008">
        <f t="shared" si="81"/>
        <v>0</v>
      </c>
      <c r="CJ69" s="1008"/>
      <c r="CK69" s="1008"/>
      <c r="CL69" s="1008">
        <f t="shared" si="82"/>
        <v>0</v>
      </c>
      <c r="CM69" s="1011">
        <f t="shared" si="83"/>
        <v>0.84714016666666669</v>
      </c>
      <c r="CN69" s="1008">
        <f t="shared" si="84"/>
        <v>25414205</v>
      </c>
      <c r="CO69" s="1008"/>
      <c r="CP69" s="1008"/>
      <c r="CQ69" s="1008"/>
      <c r="CR69" s="1008"/>
      <c r="CS69" s="1008"/>
      <c r="CT69" s="1008">
        <f>+'[18]OCTUBRE 2015'!$H$3369</f>
        <v>25414205</v>
      </c>
      <c r="CU69" s="1008"/>
      <c r="CV69" s="1008"/>
      <c r="CW69" s="1008"/>
      <c r="CX69" s="1008"/>
      <c r="CY69" s="1008"/>
      <c r="CZ69" s="1008"/>
      <c r="DA69" s="1008"/>
      <c r="DB69" s="1008"/>
      <c r="DC69" s="1008"/>
      <c r="DD69" s="1008"/>
      <c r="DE69" s="1008"/>
      <c r="DF69" s="1008"/>
      <c r="DG69" s="1008"/>
      <c r="DH69" s="1008"/>
      <c r="DI69" s="1011">
        <f t="shared" si="70"/>
        <v>0.15285983333333331</v>
      </c>
      <c r="DJ69" s="1008">
        <f t="shared" si="85"/>
        <v>4585795</v>
      </c>
      <c r="DK69" s="1008"/>
      <c r="DL69" s="1008"/>
      <c r="DM69" s="1008"/>
      <c r="DN69" s="1008">
        <f t="shared" si="86"/>
        <v>0</v>
      </c>
      <c r="DO69" s="1008"/>
      <c r="DP69" s="1008">
        <f t="shared" si="87"/>
        <v>4585795</v>
      </c>
      <c r="DQ69" s="1008">
        <f t="shared" si="87"/>
        <v>0</v>
      </c>
      <c r="DR69" s="1008"/>
      <c r="DS69" s="1008">
        <f t="shared" si="88"/>
        <v>0</v>
      </c>
      <c r="DT69" s="1008">
        <f t="shared" si="88"/>
        <v>0</v>
      </c>
      <c r="DU69" s="1008"/>
      <c r="DV69" s="1008">
        <f t="shared" si="89"/>
        <v>0</v>
      </c>
      <c r="DW69" s="1008">
        <f t="shared" si="89"/>
        <v>0</v>
      </c>
      <c r="DX69" s="1008">
        <f t="shared" si="89"/>
        <v>0</v>
      </c>
      <c r="DY69" s="1008">
        <f t="shared" si="90"/>
        <v>0</v>
      </c>
      <c r="DZ69" s="1008">
        <f t="shared" si="90"/>
        <v>0</v>
      </c>
      <c r="EA69" s="1008">
        <f t="shared" si="90"/>
        <v>0</v>
      </c>
      <c r="EB69" s="1008">
        <f t="shared" si="90"/>
        <v>0</v>
      </c>
      <c r="EC69" s="1008"/>
      <c r="ED69" s="1008">
        <f t="shared" si="91"/>
        <v>0</v>
      </c>
    </row>
    <row r="70" spans="1:134" ht="27" customHeight="1" x14ac:dyDescent="0.25">
      <c r="A70" s="1565"/>
      <c r="B70" s="1019"/>
      <c r="C70" s="1116" t="s">
        <v>4407</v>
      </c>
      <c r="D70" s="1019" t="s">
        <v>4342</v>
      </c>
      <c r="E70" s="1020">
        <v>520</v>
      </c>
      <c r="F70" s="1120" t="s">
        <v>3350</v>
      </c>
      <c r="G70" s="1400"/>
      <c r="H70" s="1061">
        <f t="shared" si="71"/>
        <v>15854838</v>
      </c>
      <c r="I70" s="1061">
        <f t="shared" si="72"/>
        <v>4145162</v>
      </c>
      <c r="J70" s="1401"/>
      <c r="K70" s="1284"/>
      <c r="L70" s="1284"/>
      <c r="M70" s="1115">
        <v>0</v>
      </c>
      <c r="N70" s="1115">
        <v>0</v>
      </c>
      <c r="O70" s="1115">
        <v>0</v>
      </c>
      <c r="P70" s="1115">
        <v>0</v>
      </c>
      <c r="Q70" s="1115">
        <v>10</v>
      </c>
      <c r="R70" s="1115">
        <v>0</v>
      </c>
      <c r="S70" s="1120"/>
      <c r="T70" s="1120"/>
      <c r="U70" s="1120"/>
      <c r="V70" s="1120"/>
      <c r="W70" s="1120"/>
      <c r="X70" s="1120"/>
      <c r="Y70" s="1008">
        <f t="shared" si="73"/>
        <v>20000000</v>
      </c>
      <c r="Z70" s="1008"/>
      <c r="AA70" s="1008"/>
      <c r="AB70" s="1008"/>
      <c r="AC70" s="1008"/>
      <c r="AD70" s="1008"/>
      <c r="AE70" s="1008">
        <f>50000000-20000000-20000000</f>
        <v>10000000</v>
      </c>
      <c r="AF70" s="1008"/>
      <c r="AG70" s="1008"/>
      <c r="AH70" s="1008"/>
      <c r="AI70" s="1008"/>
      <c r="AJ70" s="1008"/>
      <c r="AK70" s="1008"/>
      <c r="AL70" s="1008"/>
      <c r="AM70" s="1008"/>
      <c r="AN70" s="1008">
        <v>10000000</v>
      </c>
      <c r="AO70" s="1008"/>
      <c r="AP70" s="1008"/>
      <c r="AQ70" s="1008"/>
      <c r="AR70" s="1008"/>
      <c r="AS70" s="1008"/>
      <c r="AU70" s="1011">
        <f t="shared" si="74"/>
        <v>1</v>
      </c>
      <c r="AV70" s="1008">
        <f t="shared" si="75"/>
        <v>20000000</v>
      </c>
      <c r="AW70" s="1008"/>
      <c r="AX70" s="1008"/>
      <c r="AY70" s="1008"/>
      <c r="AZ70" s="1008"/>
      <c r="BA70" s="1008"/>
      <c r="BB70" s="1008">
        <f>+'[9]FEBRERO 2015'!$N$1024-40000000</f>
        <v>10000000</v>
      </c>
      <c r="BC70" s="1008"/>
      <c r="BD70" s="1008"/>
      <c r="BE70" s="1008"/>
      <c r="BF70" s="1008"/>
      <c r="BG70" s="1008"/>
      <c r="BH70" s="1008"/>
      <c r="BI70" s="1008"/>
      <c r="BJ70" s="1008"/>
      <c r="BK70" s="1008">
        <f>+'[8]FEBRERO 2015'!$W$1086</f>
        <v>10000000</v>
      </c>
      <c r="BL70" s="1008"/>
      <c r="BM70" s="1008"/>
      <c r="BN70" s="1008"/>
      <c r="BO70" s="1008"/>
      <c r="BP70" s="1008"/>
      <c r="BQ70" s="1011">
        <f t="shared" si="25"/>
        <v>0</v>
      </c>
      <c r="BR70" s="1008">
        <f t="shared" si="76"/>
        <v>0</v>
      </c>
      <c r="BS70" s="1008">
        <f t="shared" si="77"/>
        <v>0</v>
      </c>
      <c r="BT70" s="1008">
        <f t="shared" si="78"/>
        <v>0</v>
      </c>
      <c r="BU70" s="1008"/>
      <c r="BV70" s="1008">
        <f t="shared" si="79"/>
        <v>0</v>
      </c>
      <c r="BW70" s="1008"/>
      <c r="BX70" s="1008">
        <f t="shared" si="80"/>
        <v>0</v>
      </c>
      <c r="BY70" s="1008">
        <f t="shared" si="80"/>
        <v>0</v>
      </c>
      <c r="BZ70" s="1008"/>
      <c r="CA70" s="1008"/>
      <c r="CB70" s="1008">
        <f t="shared" si="81"/>
        <v>0</v>
      </c>
      <c r="CC70" s="1008"/>
      <c r="CD70" s="1008">
        <f t="shared" si="81"/>
        <v>0</v>
      </c>
      <c r="CE70" s="1008">
        <f t="shared" si="81"/>
        <v>0</v>
      </c>
      <c r="CF70" s="1008">
        <f t="shared" si="81"/>
        <v>0</v>
      </c>
      <c r="CG70" s="1008">
        <f t="shared" si="81"/>
        <v>0</v>
      </c>
      <c r="CH70" s="1008">
        <f t="shared" si="81"/>
        <v>0</v>
      </c>
      <c r="CI70" s="1008">
        <f t="shared" si="81"/>
        <v>0</v>
      </c>
      <c r="CJ70" s="1008"/>
      <c r="CK70" s="1008"/>
      <c r="CL70" s="1008">
        <f t="shared" si="82"/>
        <v>0</v>
      </c>
      <c r="CM70" s="1011">
        <f t="shared" si="83"/>
        <v>0.7927419</v>
      </c>
      <c r="CN70" s="1008">
        <f t="shared" si="84"/>
        <v>15854838</v>
      </c>
      <c r="CO70" s="1008"/>
      <c r="CP70" s="1008"/>
      <c r="CQ70" s="1008"/>
      <c r="CR70" s="1008"/>
      <c r="CS70" s="1008"/>
      <c r="CT70" s="1008">
        <f>+'[18]OCTUBRE 2015'!$H$3397</f>
        <v>5854838</v>
      </c>
      <c r="CU70" s="1008"/>
      <c r="CV70" s="1008"/>
      <c r="CW70" s="1008"/>
      <c r="CX70" s="1008"/>
      <c r="CY70" s="1008"/>
      <c r="CZ70" s="1008"/>
      <c r="DA70" s="1008"/>
      <c r="DB70" s="1008"/>
      <c r="DC70" s="1008">
        <f>+'[17]SEPTIEMBRE 2015'!$H$2955</f>
        <v>10000000</v>
      </c>
      <c r="DD70" s="1008"/>
      <c r="DE70" s="1008"/>
      <c r="DF70" s="1008"/>
      <c r="DG70" s="1008"/>
      <c r="DH70" s="1008"/>
      <c r="DI70" s="1011">
        <f t="shared" si="70"/>
        <v>0.2072581</v>
      </c>
      <c r="DJ70" s="1008">
        <f t="shared" si="85"/>
        <v>4145162</v>
      </c>
      <c r="DK70" s="1008"/>
      <c r="DL70" s="1008"/>
      <c r="DM70" s="1008"/>
      <c r="DN70" s="1008">
        <f t="shared" si="86"/>
        <v>0</v>
      </c>
      <c r="DO70" s="1008"/>
      <c r="DP70" s="1008">
        <f t="shared" si="87"/>
        <v>4145162</v>
      </c>
      <c r="DQ70" s="1008">
        <f t="shared" si="87"/>
        <v>0</v>
      </c>
      <c r="DR70" s="1008"/>
      <c r="DS70" s="1008">
        <f t="shared" si="88"/>
        <v>0</v>
      </c>
      <c r="DT70" s="1008">
        <f t="shared" si="88"/>
        <v>0</v>
      </c>
      <c r="DU70" s="1008"/>
      <c r="DV70" s="1008">
        <f t="shared" si="89"/>
        <v>0</v>
      </c>
      <c r="DW70" s="1008">
        <f t="shared" si="89"/>
        <v>0</v>
      </c>
      <c r="DX70" s="1008">
        <f t="shared" si="89"/>
        <v>0</v>
      </c>
      <c r="DY70" s="1008">
        <f t="shared" si="90"/>
        <v>0</v>
      </c>
      <c r="DZ70" s="1008">
        <f t="shared" si="90"/>
        <v>0</v>
      </c>
      <c r="EA70" s="1008">
        <f t="shared" si="90"/>
        <v>0</v>
      </c>
      <c r="EB70" s="1008">
        <f t="shared" si="90"/>
        <v>0</v>
      </c>
      <c r="EC70" s="1008"/>
      <c r="ED70" s="1008">
        <f t="shared" si="91"/>
        <v>0</v>
      </c>
    </row>
    <row r="71" spans="1:134" ht="48.75" customHeight="1" x14ac:dyDescent="0.25">
      <c r="A71" s="1565"/>
      <c r="B71" s="1019"/>
      <c r="C71" s="1116" t="s">
        <v>4408</v>
      </c>
      <c r="D71" s="1019" t="s">
        <v>4343</v>
      </c>
      <c r="E71" s="1020">
        <v>520</v>
      </c>
      <c r="F71" s="1120" t="s">
        <v>4734</v>
      </c>
      <c r="G71" s="1400"/>
      <c r="H71" s="1061">
        <f t="shared" si="71"/>
        <v>214769444</v>
      </c>
      <c r="I71" s="1061">
        <f t="shared" si="72"/>
        <v>14730556</v>
      </c>
      <c r="J71" s="1120" t="s">
        <v>4852</v>
      </c>
      <c r="K71" s="1115" t="s">
        <v>4856</v>
      </c>
      <c r="L71" s="1115" t="s">
        <v>4862</v>
      </c>
      <c r="M71" s="1115">
        <v>15</v>
      </c>
      <c r="N71" s="1115">
        <v>67</v>
      </c>
      <c r="O71" s="1115">
        <v>10</v>
      </c>
      <c r="P71" s="1115">
        <v>69</v>
      </c>
      <c r="Q71" s="1115">
        <v>18</v>
      </c>
      <c r="R71" s="1115">
        <v>12</v>
      </c>
      <c r="S71" s="1120"/>
      <c r="T71" s="1120"/>
      <c r="U71" s="1120"/>
      <c r="V71" s="1120"/>
      <c r="W71" s="1120"/>
      <c r="X71" s="1120"/>
      <c r="Y71" s="1008">
        <f t="shared" si="73"/>
        <v>229500000</v>
      </c>
      <c r="Z71" s="944"/>
      <c r="AA71" s="1008"/>
      <c r="AB71" s="1008"/>
      <c r="AC71" s="1008"/>
      <c r="AD71" s="1008"/>
      <c r="AE71" s="1008">
        <v>200000000</v>
      </c>
      <c r="AF71" s="1008"/>
      <c r="AG71" s="1008"/>
      <c r="AH71" s="1008"/>
      <c r="AI71" s="1008"/>
      <c r="AJ71" s="1008"/>
      <c r="AK71" s="1008"/>
      <c r="AL71" s="1008"/>
      <c r="AM71" s="1008"/>
      <c r="AN71" s="1008">
        <f>25000000</f>
        <v>25000000</v>
      </c>
      <c r="AO71" s="1008"/>
      <c r="AP71" s="1008"/>
      <c r="AQ71" s="1008"/>
      <c r="AR71" s="1008"/>
      <c r="AS71" s="1008">
        <f>2000000+2500000</f>
        <v>4500000</v>
      </c>
      <c r="AU71" s="1011">
        <f t="shared" si="74"/>
        <v>0.9633876427015251</v>
      </c>
      <c r="AV71" s="1008">
        <f t="shared" si="75"/>
        <v>221097464</v>
      </c>
      <c r="AW71" s="1008"/>
      <c r="AX71" s="1008"/>
      <c r="AY71" s="1008"/>
      <c r="AZ71" s="1008"/>
      <c r="BA71" s="1008"/>
      <c r="BB71" s="1008">
        <f>+'[9]FEBRERO 2015'!$N$1029</f>
        <v>200000000</v>
      </c>
      <c r="BC71" s="1008"/>
      <c r="BD71" s="1008"/>
      <c r="BE71" s="1008"/>
      <c r="BF71" s="1008"/>
      <c r="BG71" s="1008"/>
      <c r="BH71" s="1008"/>
      <c r="BI71" s="1008"/>
      <c r="BJ71" s="1008"/>
      <c r="BK71" s="1008">
        <f>+'[18]OCTUBRE 2015'!$X$3408</f>
        <v>16597464</v>
      </c>
      <c r="BL71" s="1008"/>
      <c r="BM71" s="1008"/>
      <c r="BN71" s="1008"/>
      <c r="BO71" s="1008"/>
      <c r="BP71" s="1008">
        <f>+'[15]JULIO 2015'!$AD$2168</f>
        <v>4500000</v>
      </c>
      <c r="BQ71" s="1011">
        <f t="shared" si="25"/>
        <v>3.6612357298474896E-2</v>
      </c>
      <c r="BR71" s="1008">
        <f t="shared" si="76"/>
        <v>8402536</v>
      </c>
      <c r="BS71" s="1008">
        <f t="shared" si="77"/>
        <v>0</v>
      </c>
      <c r="BT71" s="1008">
        <f t="shared" si="78"/>
        <v>0</v>
      </c>
      <c r="BU71" s="1008"/>
      <c r="BV71" s="1008">
        <f t="shared" si="79"/>
        <v>0</v>
      </c>
      <c r="BW71" s="1008"/>
      <c r="BX71" s="1008">
        <f t="shared" si="80"/>
        <v>0</v>
      </c>
      <c r="BY71" s="1008">
        <f t="shared" si="80"/>
        <v>0</v>
      </c>
      <c r="BZ71" s="1008"/>
      <c r="CA71" s="1008">
        <f>+AH71-BE71</f>
        <v>0</v>
      </c>
      <c r="CB71" s="1008">
        <f t="shared" si="81"/>
        <v>0</v>
      </c>
      <c r="CC71" s="1008">
        <f t="shared" si="81"/>
        <v>0</v>
      </c>
      <c r="CD71" s="1008">
        <f t="shared" si="81"/>
        <v>0</v>
      </c>
      <c r="CE71" s="1008">
        <f t="shared" si="81"/>
        <v>0</v>
      </c>
      <c r="CF71" s="1008">
        <f t="shared" si="81"/>
        <v>0</v>
      </c>
      <c r="CG71" s="1008">
        <f t="shared" si="81"/>
        <v>8402536</v>
      </c>
      <c r="CH71" s="1008">
        <f t="shared" si="81"/>
        <v>0</v>
      </c>
      <c r="CI71" s="1008">
        <f t="shared" si="81"/>
        <v>0</v>
      </c>
      <c r="CJ71" s="1008"/>
      <c r="CK71" s="1008"/>
      <c r="CL71" s="1008">
        <f t="shared" si="82"/>
        <v>0</v>
      </c>
      <c r="CM71" s="1011">
        <f t="shared" si="83"/>
        <v>0.9358145708061002</v>
      </c>
      <c r="CN71" s="1008">
        <f t="shared" si="84"/>
        <v>214769444</v>
      </c>
      <c r="CO71" s="1008"/>
      <c r="CP71" s="1008"/>
      <c r="CQ71" s="1008"/>
      <c r="CR71" s="1008"/>
      <c r="CS71" s="1008"/>
      <c r="CT71" s="1008">
        <f>+'[17]SEPTIEMBRE 2015'!$H$2966</f>
        <v>196216648</v>
      </c>
      <c r="CU71" s="1008"/>
      <c r="CV71" s="1008"/>
      <c r="CW71" s="1008"/>
      <c r="CX71" s="1008"/>
      <c r="CY71" s="1008"/>
      <c r="CZ71" s="1008"/>
      <c r="DA71" s="1008"/>
      <c r="DB71" s="1008"/>
      <c r="DC71" s="1008">
        <f>+'[18]OCTUBRE 2015'!$H$3489+'[18]OCTUBRE 2015'!$H$3490+'[18]OCTUBRE 2015'!$H$3491+'[18]OCTUBRE 2015'!$H$3492+'[18]OCTUBRE 2015'!$H$3493+'[18]OCTUBRE 2015'!$H$3494+'[18]OCTUBRE 2015'!$H$3495+'[18]OCTUBRE 2015'!$H$3496+'[18]OCTUBRE 2015'!$H$3497</f>
        <v>16597464</v>
      </c>
      <c r="DD71" s="1008"/>
      <c r="DE71" s="1008"/>
      <c r="DF71" s="1008"/>
      <c r="DG71" s="1008"/>
      <c r="DH71" s="1008">
        <f>+'[18]OCTUBRE 2015'!$H$3409+'[18]OCTUBRE 2015'!$H$3486</f>
        <v>1955332</v>
      </c>
      <c r="DI71" s="1011">
        <f t="shared" si="70"/>
        <v>6.4185429193899801E-2</v>
      </c>
      <c r="DJ71" s="1008">
        <f t="shared" si="85"/>
        <v>14730556</v>
      </c>
      <c r="DK71" s="1008"/>
      <c r="DL71" s="1008"/>
      <c r="DM71" s="1008"/>
      <c r="DN71" s="1008">
        <f t="shared" si="86"/>
        <v>0</v>
      </c>
      <c r="DO71" s="1008"/>
      <c r="DP71" s="1008">
        <f t="shared" si="87"/>
        <v>3783352</v>
      </c>
      <c r="DQ71" s="1008">
        <f t="shared" si="87"/>
        <v>0</v>
      </c>
      <c r="DR71" s="1008"/>
      <c r="DS71" s="1008">
        <f t="shared" si="88"/>
        <v>0</v>
      </c>
      <c r="DT71" s="1008">
        <f t="shared" si="88"/>
        <v>0</v>
      </c>
      <c r="DU71" s="1008"/>
      <c r="DV71" s="1008">
        <f t="shared" si="89"/>
        <v>0</v>
      </c>
      <c r="DW71" s="1008">
        <f t="shared" si="89"/>
        <v>0</v>
      </c>
      <c r="DX71" s="1008">
        <f t="shared" si="89"/>
        <v>0</v>
      </c>
      <c r="DY71" s="1008">
        <f t="shared" si="90"/>
        <v>8402536</v>
      </c>
      <c r="DZ71" s="1008">
        <f t="shared" si="90"/>
        <v>0</v>
      </c>
      <c r="EA71" s="1008">
        <f t="shared" si="90"/>
        <v>0</v>
      </c>
      <c r="EB71" s="1008">
        <f t="shared" si="90"/>
        <v>0</v>
      </c>
      <c r="EC71" s="1008"/>
      <c r="ED71" s="1008">
        <f t="shared" si="91"/>
        <v>2544668</v>
      </c>
    </row>
    <row r="72" spans="1:134" ht="45" customHeight="1" x14ac:dyDescent="0.25">
      <c r="A72" s="1565"/>
      <c r="B72" s="1019"/>
      <c r="C72" s="1116" t="s">
        <v>4409</v>
      </c>
      <c r="D72" s="1019" t="s">
        <v>4346</v>
      </c>
      <c r="E72" s="1020">
        <v>520</v>
      </c>
      <c r="F72" s="1120" t="s">
        <v>4735</v>
      </c>
      <c r="G72" s="1400"/>
      <c r="H72" s="1061">
        <f t="shared" si="71"/>
        <v>36778434</v>
      </c>
      <c r="I72" s="1061">
        <f t="shared" si="72"/>
        <v>9221566</v>
      </c>
      <c r="J72" s="1399" t="s">
        <v>4853</v>
      </c>
      <c r="K72" s="1283" t="s">
        <v>4857</v>
      </c>
      <c r="L72" s="1283" t="s">
        <v>4853</v>
      </c>
      <c r="M72" s="1115">
        <v>39</v>
      </c>
      <c r="N72" s="1115">
        <v>0</v>
      </c>
      <c r="O72" s="1115">
        <v>0</v>
      </c>
      <c r="P72" s="1115">
        <v>21</v>
      </c>
      <c r="Q72" s="1115">
        <v>0</v>
      </c>
      <c r="R72" s="1115">
        <v>0</v>
      </c>
      <c r="S72" s="1120"/>
      <c r="T72" s="1120"/>
      <c r="U72" s="1120"/>
      <c r="V72" s="1120"/>
      <c r="W72" s="1120"/>
      <c r="X72" s="1120"/>
      <c r="Y72" s="1008">
        <f t="shared" si="73"/>
        <v>46000000</v>
      </c>
      <c r="Z72" s="944"/>
      <c r="AA72" s="1008"/>
      <c r="AB72" s="1008"/>
      <c r="AC72" s="1008"/>
      <c r="AD72" s="1008"/>
      <c r="AE72" s="1008"/>
      <c r="AF72" s="1008"/>
      <c r="AG72" s="1008"/>
      <c r="AH72" s="1008"/>
      <c r="AI72" s="1008"/>
      <c r="AJ72" s="1008"/>
      <c r="AK72" s="1008"/>
      <c r="AL72" s="1008"/>
      <c r="AM72" s="1008"/>
      <c r="AN72" s="1008"/>
      <c r="AO72" s="1008"/>
      <c r="AP72" s="1008"/>
      <c r="AQ72" s="1008"/>
      <c r="AR72" s="1008"/>
      <c r="AS72" s="1008">
        <f>25000000+17000000+4000000</f>
        <v>46000000</v>
      </c>
      <c r="AU72" s="1011">
        <f t="shared" si="74"/>
        <v>0.80155789130434785</v>
      </c>
      <c r="AV72" s="1008">
        <f t="shared" si="75"/>
        <v>36871663</v>
      </c>
      <c r="AW72" s="1008"/>
      <c r="AX72" s="1008"/>
      <c r="AY72" s="1008"/>
      <c r="AZ72" s="1008"/>
      <c r="BA72" s="1008"/>
      <c r="BB72" s="1008"/>
      <c r="BC72" s="1008"/>
      <c r="BD72" s="1008"/>
      <c r="BE72" s="1008"/>
      <c r="BF72" s="1008"/>
      <c r="BG72" s="1008"/>
      <c r="BH72" s="1008"/>
      <c r="BI72" s="1008"/>
      <c r="BJ72" s="1008"/>
      <c r="BK72" s="1008"/>
      <c r="BL72" s="1008"/>
      <c r="BM72" s="1008"/>
      <c r="BN72" s="1008"/>
      <c r="BO72" s="1008"/>
      <c r="BP72" s="1008">
        <f>+'[18]OCTUBRE 2015'!$AD$3501</f>
        <v>36871663</v>
      </c>
      <c r="BQ72" s="1011">
        <f t="shared" si="25"/>
        <v>0.19844210869565215</v>
      </c>
      <c r="BR72" s="1008">
        <f t="shared" si="76"/>
        <v>9128337</v>
      </c>
      <c r="BS72" s="1008">
        <f t="shared" si="77"/>
        <v>0</v>
      </c>
      <c r="BT72" s="1008">
        <f t="shared" si="78"/>
        <v>0</v>
      </c>
      <c r="BU72" s="1008"/>
      <c r="BV72" s="1008">
        <f t="shared" si="79"/>
        <v>0</v>
      </c>
      <c r="BW72" s="1008"/>
      <c r="BX72" s="1008">
        <f t="shared" si="80"/>
        <v>0</v>
      </c>
      <c r="BY72" s="1008">
        <f t="shared" si="80"/>
        <v>0</v>
      </c>
      <c r="BZ72" s="1008"/>
      <c r="CA72" s="1008">
        <f>+AH72-BE72</f>
        <v>0</v>
      </c>
      <c r="CB72" s="1008">
        <f t="shared" si="81"/>
        <v>0</v>
      </c>
      <c r="CC72" s="1008">
        <f t="shared" si="81"/>
        <v>0</v>
      </c>
      <c r="CD72" s="1008">
        <f t="shared" si="81"/>
        <v>0</v>
      </c>
      <c r="CE72" s="1008">
        <f t="shared" si="81"/>
        <v>0</v>
      </c>
      <c r="CF72" s="1008">
        <f t="shared" si="81"/>
        <v>0</v>
      </c>
      <c r="CG72" s="1008">
        <f t="shared" si="81"/>
        <v>0</v>
      </c>
      <c r="CH72" s="1008">
        <f t="shared" si="81"/>
        <v>0</v>
      </c>
      <c r="CI72" s="1008">
        <f t="shared" si="81"/>
        <v>0</v>
      </c>
      <c r="CJ72" s="1008">
        <f>+AQ72-BN72</f>
        <v>0</v>
      </c>
      <c r="CK72" s="1008"/>
      <c r="CL72" s="1008">
        <f t="shared" si="82"/>
        <v>9128337</v>
      </c>
      <c r="CM72" s="1011">
        <f t="shared" si="83"/>
        <v>0.79953117391304351</v>
      </c>
      <c r="CN72" s="1008">
        <f t="shared" si="84"/>
        <v>36778434</v>
      </c>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f>+'[18]OCTUBRE 2015'!$H$3499</f>
        <v>36778434</v>
      </c>
      <c r="DI72" s="1011">
        <f t="shared" si="70"/>
        <v>0.20046882608695649</v>
      </c>
      <c r="DJ72" s="1008">
        <f t="shared" si="85"/>
        <v>9221566</v>
      </c>
      <c r="DK72" s="1008"/>
      <c r="DL72" s="1008"/>
      <c r="DM72" s="1008"/>
      <c r="DN72" s="1008">
        <f t="shared" si="86"/>
        <v>0</v>
      </c>
      <c r="DO72" s="1008"/>
      <c r="DP72" s="1008">
        <f t="shared" si="87"/>
        <v>0</v>
      </c>
      <c r="DQ72" s="1008">
        <f t="shared" si="87"/>
        <v>0</v>
      </c>
      <c r="DR72" s="1008"/>
      <c r="DS72" s="1008">
        <f t="shared" si="88"/>
        <v>0</v>
      </c>
      <c r="DT72" s="1008">
        <f t="shared" si="88"/>
        <v>0</v>
      </c>
      <c r="DU72" s="1008"/>
      <c r="DV72" s="1008">
        <f t="shared" si="89"/>
        <v>0</v>
      </c>
      <c r="DW72" s="1008">
        <f t="shared" si="89"/>
        <v>0</v>
      </c>
      <c r="DX72" s="1008">
        <f t="shared" si="89"/>
        <v>0</v>
      </c>
      <c r="DY72" s="1008">
        <f t="shared" si="90"/>
        <v>0</v>
      </c>
      <c r="DZ72" s="1008">
        <f t="shared" si="90"/>
        <v>0</v>
      </c>
      <c r="EA72" s="1008">
        <f t="shared" si="90"/>
        <v>0</v>
      </c>
      <c r="EB72" s="1008">
        <f t="shared" si="90"/>
        <v>0</v>
      </c>
      <c r="EC72" s="1008"/>
      <c r="ED72" s="1008">
        <f t="shared" si="91"/>
        <v>9221566</v>
      </c>
    </row>
    <row r="73" spans="1:134" ht="40.5" customHeight="1" x14ac:dyDescent="0.25">
      <c r="A73" s="1565"/>
      <c r="B73" s="1019"/>
      <c r="C73" s="1116" t="s">
        <v>4410</v>
      </c>
      <c r="D73" s="1019" t="s">
        <v>4613</v>
      </c>
      <c r="E73" s="1020">
        <v>520</v>
      </c>
      <c r="F73" s="1120" t="s">
        <v>4345</v>
      </c>
      <c r="G73" s="1401"/>
      <c r="H73" s="1061">
        <f t="shared" si="71"/>
        <v>2592254</v>
      </c>
      <c r="I73" s="1061">
        <f t="shared" si="72"/>
        <v>407746</v>
      </c>
      <c r="J73" s="1401"/>
      <c r="K73" s="1284"/>
      <c r="L73" s="1284"/>
      <c r="M73" s="1115">
        <v>81</v>
      </c>
      <c r="N73" s="1115">
        <v>0</v>
      </c>
      <c r="O73" s="1115">
        <v>24</v>
      </c>
      <c r="P73" s="1115">
        <v>59</v>
      </c>
      <c r="Q73" s="1115">
        <v>0</v>
      </c>
      <c r="R73" s="1115">
        <v>0</v>
      </c>
      <c r="S73" s="1120"/>
      <c r="T73" s="1120"/>
      <c r="U73" s="1120"/>
      <c r="V73" s="1120"/>
      <c r="W73" s="1120"/>
      <c r="X73" s="1120"/>
      <c r="Y73" s="1008">
        <f t="shared" si="73"/>
        <v>3000000</v>
      </c>
      <c r="Z73" s="944"/>
      <c r="AA73" s="1008"/>
      <c r="AB73" s="1008"/>
      <c r="AC73" s="1008"/>
      <c r="AD73" s="1008"/>
      <c r="AE73" s="1008"/>
      <c r="AF73" s="1008"/>
      <c r="AG73" s="1008"/>
      <c r="AH73" s="1008"/>
      <c r="AI73" s="1008"/>
      <c r="AJ73" s="1008"/>
      <c r="AK73" s="1008"/>
      <c r="AL73" s="1008"/>
      <c r="AM73" s="1008"/>
      <c r="AN73" s="1008"/>
      <c r="AO73" s="1008"/>
      <c r="AP73" s="1008"/>
      <c r="AQ73" s="1008"/>
      <c r="AR73" s="1008"/>
      <c r="AS73" s="1008">
        <f>2000000+1000000</f>
        <v>3000000</v>
      </c>
      <c r="AU73" s="1011">
        <f t="shared" si="74"/>
        <v>1</v>
      </c>
      <c r="AV73" s="1008">
        <f t="shared" si="75"/>
        <v>3000000</v>
      </c>
      <c r="AW73" s="1008"/>
      <c r="AX73" s="1008"/>
      <c r="AY73" s="1008"/>
      <c r="AZ73" s="1008"/>
      <c r="BA73" s="1008"/>
      <c r="BB73" s="1008"/>
      <c r="BC73" s="1008"/>
      <c r="BD73" s="1008"/>
      <c r="BE73" s="1008"/>
      <c r="BF73" s="1008"/>
      <c r="BG73" s="1008"/>
      <c r="BH73" s="1008"/>
      <c r="BI73" s="1008"/>
      <c r="BJ73" s="1008"/>
      <c r="BK73" s="1008"/>
      <c r="BL73" s="1008"/>
      <c r="BM73" s="1008"/>
      <c r="BN73" s="1008"/>
      <c r="BO73" s="1008"/>
      <c r="BP73" s="1008">
        <f>+'[15]JULIO 2015'!$AD$2253</f>
        <v>3000000</v>
      </c>
      <c r="BQ73" s="1011">
        <f t="shared" si="25"/>
        <v>0</v>
      </c>
      <c r="BR73" s="1008">
        <f t="shared" si="76"/>
        <v>0</v>
      </c>
      <c r="BS73" s="1008">
        <f t="shared" si="77"/>
        <v>0</v>
      </c>
      <c r="BT73" s="1008">
        <f t="shared" si="78"/>
        <v>0</v>
      </c>
      <c r="BU73" s="1008"/>
      <c r="BV73" s="1008">
        <f t="shared" si="79"/>
        <v>0</v>
      </c>
      <c r="BW73" s="1008"/>
      <c r="BX73" s="1008">
        <f t="shared" si="80"/>
        <v>0</v>
      </c>
      <c r="BY73" s="1008">
        <f t="shared" si="80"/>
        <v>0</v>
      </c>
      <c r="BZ73" s="1008"/>
      <c r="CA73" s="1008"/>
      <c r="CB73" s="1008">
        <f t="shared" si="81"/>
        <v>0</v>
      </c>
      <c r="CC73" s="1008">
        <f t="shared" si="81"/>
        <v>0</v>
      </c>
      <c r="CD73" s="1008">
        <f t="shared" si="81"/>
        <v>0</v>
      </c>
      <c r="CE73" s="1008">
        <f t="shared" si="81"/>
        <v>0</v>
      </c>
      <c r="CF73" s="1008">
        <f t="shared" si="81"/>
        <v>0</v>
      </c>
      <c r="CG73" s="1008">
        <f t="shared" si="81"/>
        <v>0</v>
      </c>
      <c r="CH73" s="1008">
        <f t="shared" si="81"/>
        <v>0</v>
      </c>
      <c r="CI73" s="1008">
        <f t="shared" si="81"/>
        <v>0</v>
      </c>
      <c r="CJ73" s="1008"/>
      <c r="CK73" s="1008"/>
      <c r="CL73" s="1008">
        <f t="shared" si="82"/>
        <v>0</v>
      </c>
      <c r="CM73" s="1011">
        <f t="shared" si="83"/>
        <v>0.86408466666666661</v>
      </c>
      <c r="CN73" s="1008">
        <f t="shared" si="84"/>
        <v>2592254</v>
      </c>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f>+'[18]OCTUBRE 2015'!$H$3517</f>
        <v>2592254</v>
      </c>
      <c r="DI73" s="1011">
        <f t="shared" si="70"/>
        <v>0.13591533333333339</v>
      </c>
      <c r="DJ73" s="1008">
        <f t="shared" si="85"/>
        <v>407746</v>
      </c>
      <c r="DK73" s="1008"/>
      <c r="DL73" s="1008"/>
      <c r="DM73" s="1008"/>
      <c r="DN73" s="1008">
        <f t="shared" si="86"/>
        <v>0</v>
      </c>
      <c r="DO73" s="1008"/>
      <c r="DP73" s="1008">
        <f t="shared" si="87"/>
        <v>0</v>
      </c>
      <c r="DQ73" s="1008">
        <f t="shared" si="87"/>
        <v>0</v>
      </c>
      <c r="DR73" s="1008"/>
      <c r="DS73" s="1008">
        <f t="shared" si="88"/>
        <v>0</v>
      </c>
      <c r="DT73" s="1008">
        <f t="shared" si="88"/>
        <v>0</v>
      </c>
      <c r="DU73" s="1008"/>
      <c r="DV73" s="1008">
        <f t="shared" si="89"/>
        <v>0</v>
      </c>
      <c r="DW73" s="1008">
        <f t="shared" si="89"/>
        <v>0</v>
      </c>
      <c r="DX73" s="1008">
        <f t="shared" si="89"/>
        <v>0</v>
      </c>
      <c r="DY73" s="1008">
        <f t="shared" si="90"/>
        <v>0</v>
      </c>
      <c r="DZ73" s="1008">
        <f t="shared" si="90"/>
        <v>0</v>
      </c>
      <c r="EA73" s="1008">
        <f t="shared" si="90"/>
        <v>0</v>
      </c>
      <c r="EB73" s="1008">
        <f t="shared" si="90"/>
        <v>0</v>
      </c>
      <c r="EC73" s="1008"/>
      <c r="ED73" s="1008">
        <f t="shared" si="91"/>
        <v>407746</v>
      </c>
    </row>
    <row r="74" spans="1:134" ht="51.75" customHeight="1" x14ac:dyDescent="0.25">
      <c r="A74" s="1565"/>
      <c r="B74" s="1019" t="s">
        <v>4348</v>
      </c>
      <c r="C74" s="1116" t="s">
        <v>4411</v>
      </c>
      <c r="D74" s="1019" t="s">
        <v>4614</v>
      </c>
      <c r="E74" s="1020">
        <v>520</v>
      </c>
      <c r="F74" s="1120" t="s">
        <v>3350</v>
      </c>
      <c r="G74" s="1399">
        <v>100000000</v>
      </c>
      <c r="H74" s="1061">
        <f t="shared" si="71"/>
        <v>1809494</v>
      </c>
      <c r="I74" s="1061">
        <f t="shared" si="72"/>
        <v>23190506</v>
      </c>
      <c r="J74" s="1399" t="s">
        <v>4858</v>
      </c>
      <c r="K74" s="1283" t="s">
        <v>4859</v>
      </c>
      <c r="L74" s="1283" t="s">
        <v>4863</v>
      </c>
      <c r="M74" s="1115">
        <v>0</v>
      </c>
      <c r="N74" s="1115">
        <v>0</v>
      </c>
      <c r="O74" s="1115">
        <v>0</v>
      </c>
      <c r="P74" s="1115">
        <v>0</v>
      </c>
      <c r="Q74" s="1115">
        <v>0</v>
      </c>
      <c r="R74" s="1115">
        <v>0</v>
      </c>
      <c r="S74" s="1120"/>
      <c r="T74" s="1120"/>
      <c r="U74" s="1120"/>
      <c r="V74" s="1120"/>
      <c r="W74" s="1120"/>
      <c r="X74" s="1120"/>
      <c r="Y74" s="1008">
        <f t="shared" si="73"/>
        <v>25000000</v>
      </c>
      <c r="Z74" s="944"/>
      <c r="AA74" s="1008"/>
      <c r="AB74" s="1008"/>
      <c r="AC74" s="1008"/>
      <c r="AD74" s="1008"/>
      <c r="AE74" s="1008"/>
      <c r="AF74" s="1008">
        <f>50000000-25000000</f>
        <v>25000000</v>
      </c>
      <c r="AG74" s="1008"/>
      <c r="AH74" s="1008"/>
      <c r="AI74" s="1008"/>
      <c r="AJ74" s="1008"/>
      <c r="AK74" s="1008"/>
      <c r="AL74" s="1008"/>
      <c r="AM74" s="1008"/>
      <c r="AN74" s="1008"/>
      <c r="AO74" s="1008"/>
      <c r="AP74" s="1008"/>
      <c r="AQ74" s="1008"/>
      <c r="AR74" s="1008"/>
      <c r="AS74" s="1008"/>
      <c r="AU74" s="1011">
        <f t="shared" si="74"/>
        <v>0.8</v>
      </c>
      <c r="AV74" s="1008">
        <f t="shared" si="75"/>
        <v>20000000</v>
      </c>
      <c r="AW74" s="1008"/>
      <c r="AX74" s="1008"/>
      <c r="AY74" s="1008"/>
      <c r="AZ74" s="1008"/>
      <c r="BA74" s="1008"/>
      <c r="BB74" s="1008"/>
      <c r="BC74" s="1008">
        <f>+'[18]OCTUBRE 2015'!$P$3532</f>
        <v>20000000</v>
      </c>
      <c r="BD74" s="1008"/>
      <c r="BE74" s="1008"/>
      <c r="BF74" s="1008"/>
      <c r="BG74" s="1008"/>
      <c r="BH74" s="1008"/>
      <c r="BI74" s="1008"/>
      <c r="BJ74" s="1008"/>
      <c r="BK74" s="1008"/>
      <c r="BL74" s="1008"/>
      <c r="BM74" s="1008"/>
      <c r="BN74" s="1008"/>
      <c r="BO74" s="1008"/>
      <c r="BP74" s="1008"/>
      <c r="BQ74" s="1011">
        <f t="shared" si="25"/>
        <v>0.19999999999999996</v>
      </c>
      <c r="BR74" s="1008">
        <f t="shared" si="76"/>
        <v>5000000</v>
      </c>
      <c r="BS74" s="1008">
        <f t="shared" si="77"/>
        <v>0</v>
      </c>
      <c r="BT74" s="1008">
        <f t="shared" si="78"/>
        <v>0</v>
      </c>
      <c r="BU74" s="1008"/>
      <c r="BV74" s="1008">
        <f t="shared" si="79"/>
        <v>0</v>
      </c>
      <c r="BW74" s="1008"/>
      <c r="BX74" s="1008">
        <f t="shared" si="80"/>
        <v>0</v>
      </c>
      <c r="BY74" s="1008">
        <f t="shared" si="80"/>
        <v>5000000</v>
      </c>
      <c r="BZ74" s="1008"/>
      <c r="CA74" s="1008">
        <f>+AH74-BE74</f>
        <v>0</v>
      </c>
      <c r="CB74" s="1008">
        <f t="shared" si="81"/>
        <v>0</v>
      </c>
      <c r="CC74" s="1008">
        <f t="shared" si="81"/>
        <v>0</v>
      </c>
      <c r="CD74" s="1008">
        <f t="shared" si="81"/>
        <v>0</v>
      </c>
      <c r="CE74" s="1008">
        <f t="shared" si="81"/>
        <v>0</v>
      </c>
      <c r="CF74" s="1008">
        <f t="shared" si="81"/>
        <v>0</v>
      </c>
      <c r="CG74" s="1008">
        <f t="shared" si="81"/>
        <v>0</v>
      </c>
      <c r="CH74" s="1008">
        <f t="shared" si="81"/>
        <v>0</v>
      </c>
      <c r="CI74" s="1008">
        <f t="shared" si="81"/>
        <v>0</v>
      </c>
      <c r="CJ74" s="1008">
        <f>+AQ74-BN74</f>
        <v>0</v>
      </c>
      <c r="CK74" s="1008"/>
      <c r="CL74" s="1008">
        <f t="shared" si="82"/>
        <v>0</v>
      </c>
      <c r="CM74" s="1011">
        <f t="shared" si="83"/>
        <v>7.2379760000000001E-2</v>
      </c>
      <c r="CN74" s="1008">
        <f t="shared" si="84"/>
        <v>1809494</v>
      </c>
      <c r="CO74" s="1008"/>
      <c r="CP74" s="1008"/>
      <c r="CQ74" s="1008"/>
      <c r="CR74" s="1008"/>
      <c r="CS74" s="1008"/>
      <c r="CT74" s="1008"/>
      <c r="CU74" s="1008">
        <f>+'[18]OCTUBRE 2015'!$H$3530</f>
        <v>1809494</v>
      </c>
      <c r="CV74" s="1008"/>
      <c r="CW74" s="1008"/>
      <c r="CX74" s="1008"/>
      <c r="CY74" s="1008"/>
      <c r="CZ74" s="1008"/>
      <c r="DA74" s="1008"/>
      <c r="DB74" s="1008"/>
      <c r="DC74" s="1008"/>
      <c r="DD74" s="1008"/>
      <c r="DE74" s="1008"/>
      <c r="DF74" s="1008"/>
      <c r="DG74" s="1008"/>
      <c r="DH74" s="1008"/>
      <c r="DI74" s="1011">
        <f t="shared" si="70"/>
        <v>0.92762023999999998</v>
      </c>
      <c r="DJ74" s="1008">
        <f t="shared" si="85"/>
        <v>23190506</v>
      </c>
      <c r="DK74" s="1008"/>
      <c r="DL74" s="1008"/>
      <c r="DM74" s="1008"/>
      <c r="DN74" s="1008">
        <f t="shared" si="86"/>
        <v>0</v>
      </c>
      <c r="DO74" s="1008"/>
      <c r="DP74" s="1008">
        <f t="shared" si="87"/>
        <v>0</v>
      </c>
      <c r="DQ74" s="1008">
        <f t="shared" si="87"/>
        <v>23190506</v>
      </c>
      <c r="DR74" s="1008"/>
      <c r="DS74" s="1008">
        <f t="shared" si="88"/>
        <v>0</v>
      </c>
      <c r="DT74" s="1008">
        <f t="shared" si="88"/>
        <v>0</v>
      </c>
      <c r="DU74" s="1008"/>
      <c r="DV74" s="1008">
        <f t="shared" si="89"/>
        <v>0</v>
      </c>
      <c r="DW74" s="1008">
        <f t="shared" si="89"/>
        <v>0</v>
      </c>
      <c r="DX74" s="1008">
        <f t="shared" si="89"/>
        <v>0</v>
      </c>
      <c r="DY74" s="1008">
        <f t="shared" si="90"/>
        <v>0</v>
      </c>
      <c r="DZ74" s="1008">
        <f t="shared" si="90"/>
        <v>0</v>
      </c>
      <c r="EA74" s="1008">
        <f t="shared" si="90"/>
        <v>0</v>
      </c>
      <c r="EB74" s="1008">
        <f t="shared" si="90"/>
        <v>0</v>
      </c>
      <c r="EC74" s="1008"/>
      <c r="ED74" s="1008">
        <f t="shared" si="91"/>
        <v>0</v>
      </c>
    </row>
    <row r="75" spans="1:134" ht="34.5" customHeight="1" x14ac:dyDescent="0.25">
      <c r="A75" s="1565"/>
      <c r="B75" s="1019"/>
      <c r="C75" s="1116" t="s">
        <v>4412</v>
      </c>
      <c r="D75" s="1019" t="s">
        <v>4615</v>
      </c>
      <c r="E75" s="1020">
        <v>520</v>
      </c>
      <c r="F75" s="1120" t="s">
        <v>3350</v>
      </c>
      <c r="G75" s="1400"/>
      <c r="H75" s="1061">
        <f t="shared" si="71"/>
        <v>28800000</v>
      </c>
      <c r="I75" s="1061">
        <f t="shared" si="72"/>
        <v>1200000</v>
      </c>
      <c r="J75" s="1400"/>
      <c r="K75" s="1573"/>
      <c r="L75" s="1573"/>
      <c r="M75" s="1115">
        <v>66</v>
      </c>
      <c r="N75" s="1115">
        <v>50</v>
      </c>
      <c r="O75" s="1115">
        <v>33</v>
      </c>
      <c r="P75" s="1115">
        <v>79</v>
      </c>
      <c r="Q75" s="1115">
        <v>100</v>
      </c>
      <c r="R75" s="1115">
        <v>79</v>
      </c>
      <c r="S75" s="1120"/>
      <c r="T75" s="1120"/>
      <c r="U75" s="1120"/>
      <c r="V75" s="1120"/>
      <c r="W75" s="1120"/>
      <c r="X75" s="1120"/>
      <c r="Y75" s="1008">
        <f t="shared" si="73"/>
        <v>30000000</v>
      </c>
      <c r="Z75" s="944"/>
      <c r="AA75" s="1008"/>
      <c r="AB75" s="1008"/>
      <c r="AC75" s="1008"/>
      <c r="AD75" s="1008"/>
      <c r="AE75" s="1008">
        <v>20000000</v>
      </c>
      <c r="AF75" s="1008"/>
      <c r="AG75" s="1008"/>
      <c r="AH75" s="1008"/>
      <c r="AI75" s="1008"/>
      <c r="AJ75" s="1008"/>
      <c r="AK75" s="1008"/>
      <c r="AL75" s="1008"/>
      <c r="AM75" s="1008"/>
      <c r="AN75" s="1008">
        <v>10000000</v>
      </c>
      <c r="AO75" s="1008"/>
      <c r="AP75" s="1008"/>
      <c r="AQ75" s="1008"/>
      <c r="AR75" s="1008"/>
      <c r="AS75" s="1008"/>
      <c r="AU75" s="1011">
        <f t="shared" si="74"/>
        <v>1</v>
      </c>
      <c r="AV75" s="1008">
        <f t="shared" si="75"/>
        <v>30000000</v>
      </c>
      <c r="AW75" s="1008"/>
      <c r="AX75" s="1008"/>
      <c r="AY75" s="1008"/>
      <c r="AZ75" s="1008"/>
      <c r="BA75" s="1008"/>
      <c r="BB75" s="1008">
        <f>+'[7]ENERO 2015'!$L$922</f>
        <v>20000000</v>
      </c>
      <c r="BC75" s="1008"/>
      <c r="BD75" s="1008"/>
      <c r="BE75" s="1008"/>
      <c r="BF75" s="1008"/>
      <c r="BG75" s="1008"/>
      <c r="BH75" s="1008"/>
      <c r="BI75" s="1008"/>
      <c r="BJ75" s="1008"/>
      <c r="BK75" s="1008">
        <f>+'[8]FEBRERO 2015'!$W$1134</f>
        <v>10000000</v>
      </c>
      <c r="BL75" s="1008"/>
      <c r="BM75" s="1008"/>
      <c r="BN75" s="1008"/>
      <c r="BO75" s="1008"/>
      <c r="BP75" s="1008"/>
      <c r="BQ75" s="1011">
        <f t="shared" si="25"/>
        <v>0</v>
      </c>
      <c r="BR75" s="1008">
        <f t="shared" si="76"/>
        <v>0</v>
      </c>
      <c r="BS75" s="1008">
        <f t="shared" si="77"/>
        <v>0</v>
      </c>
      <c r="BT75" s="1008">
        <f t="shared" si="78"/>
        <v>0</v>
      </c>
      <c r="BU75" s="1008"/>
      <c r="BV75" s="1008">
        <f t="shared" si="79"/>
        <v>0</v>
      </c>
      <c r="BW75" s="1008"/>
      <c r="BX75" s="1008">
        <f t="shared" si="80"/>
        <v>0</v>
      </c>
      <c r="BY75" s="1008">
        <f t="shared" si="80"/>
        <v>0</v>
      </c>
      <c r="BZ75" s="1008"/>
      <c r="CA75" s="1008">
        <f>+AH75-BE75</f>
        <v>0</v>
      </c>
      <c r="CB75" s="1008">
        <f t="shared" si="81"/>
        <v>0</v>
      </c>
      <c r="CC75" s="1008">
        <f t="shared" si="81"/>
        <v>0</v>
      </c>
      <c r="CD75" s="1008">
        <f t="shared" si="81"/>
        <v>0</v>
      </c>
      <c r="CE75" s="1008">
        <f t="shared" si="81"/>
        <v>0</v>
      </c>
      <c r="CF75" s="1008">
        <f t="shared" si="81"/>
        <v>0</v>
      </c>
      <c r="CG75" s="1008">
        <f t="shared" si="81"/>
        <v>0</v>
      </c>
      <c r="CH75" s="1008">
        <f t="shared" si="81"/>
        <v>0</v>
      </c>
      <c r="CI75" s="1008">
        <f t="shared" si="81"/>
        <v>0</v>
      </c>
      <c r="CJ75" s="1008">
        <f>+AQ75-BN75</f>
        <v>0</v>
      </c>
      <c r="CK75" s="1008"/>
      <c r="CL75" s="1008">
        <f t="shared" si="82"/>
        <v>0</v>
      </c>
      <c r="CM75" s="1011">
        <f t="shared" si="83"/>
        <v>0.96</v>
      </c>
      <c r="CN75" s="1008">
        <f t="shared" si="84"/>
        <v>28800000</v>
      </c>
      <c r="CO75" s="1008"/>
      <c r="CP75" s="1008"/>
      <c r="CQ75" s="1008"/>
      <c r="CR75" s="1008"/>
      <c r="CS75" s="1008"/>
      <c r="CT75" s="1008">
        <f>+'[17]SEPTIEMBRE 2015'!$H$3080</f>
        <v>20000000</v>
      </c>
      <c r="CU75" s="1008"/>
      <c r="CV75" s="1008"/>
      <c r="CW75" s="1008"/>
      <c r="CX75" s="1008"/>
      <c r="CY75" s="1008"/>
      <c r="CZ75" s="1008"/>
      <c r="DA75" s="1008"/>
      <c r="DB75" s="1008"/>
      <c r="DC75" s="1008">
        <f>+'[18]OCTUBRE 2015'!$H$3546</f>
        <v>8800000</v>
      </c>
      <c r="DD75" s="1008"/>
      <c r="DE75" s="1008"/>
      <c r="DF75" s="1008"/>
      <c r="DG75" s="1008"/>
      <c r="DH75" s="1008"/>
      <c r="DI75" s="1011">
        <f t="shared" si="70"/>
        <v>4.0000000000000036E-2</v>
      </c>
      <c r="DJ75" s="1008">
        <f t="shared" si="85"/>
        <v>1200000</v>
      </c>
      <c r="DK75" s="1008"/>
      <c r="DL75" s="1008"/>
      <c r="DM75" s="1008"/>
      <c r="DN75" s="1008">
        <f t="shared" si="86"/>
        <v>0</v>
      </c>
      <c r="DO75" s="1008"/>
      <c r="DP75" s="1008">
        <f t="shared" si="87"/>
        <v>0</v>
      </c>
      <c r="DQ75" s="1008">
        <f t="shared" si="87"/>
        <v>0</v>
      </c>
      <c r="DR75" s="1008"/>
      <c r="DS75" s="1008">
        <f t="shared" si="88"/>
        <v>0</v>
      </c>
      <c r="DT75" s="1008">
        <f t="shared" si="88"/>
        <v>0</v>
      </c>
      <c r="DU75" s="1008"/>
      <c r="DV75" s="1008">
        <f t="shared" si="89"/>
        <v>0</v>
      </c>
      <c r="DW75" s="1008">
        <f t="shared" si="89"/>
        <v>0</v>
      </c>
      <c r="DX75" s="1008">
        <f t="shared" si="89"/>
        <v>0</v>
      </c>
      <c r="DY75" s="1008">
        <f t="shared" si="90"/>
        <v>1200000</v>
      </c>
      <c r="DZ75" s="1008">
        <f t="shared" si="90"/>
        <v>0</v>
      </c>
      <c r="EA75" s="1008">
        <f t="shared" si="90"/>
        <v>0</v>
      </c>
      <c r="EB75" s="1008">
        <f t="shared" si="90"/>
        <v>0</v>
      </c>
      <c r="EC75" s="1008"/>
      <c r="ED75" s="1008">
        <f t="shared" si="91"/>
        <v>0</v>
      </c>
    </row>
    <row r="76" spans="1:134" ht="51" customHeight="1" x14ac:dyDescent="0.25">
      <c r="A76" s="1565"/>
      <c r="B76" s="1019"/>
      <c r="C76" s="1116" t="s">
        <v>4413</v>
      </c>
      <c r="D76" s="1019" t="s">
        <v>4349</v>
      </c>
      <c r="E76" s="1020">
        <v>520</v>
      </c>
      <c r="F76" s="1120" t="s">
        <v>3350</v>
      </c>
      <c r="G76" s="1401"/>
      <c r="H76" s="1061">
        <f t="shared" si="71"/>
        <v>12228000</v>
      </c>
      <c r="I76" s="1061">
        <f t="shared" si="72"/>
        <v>17772000</v>
      </c>
      <c r="J76" s="1401"/>
      <c r="K76" s="1284"/>
      <c r="L76" s="1284"/>
      <c r="M76" s="1115">
        <v>7</v>
      </c>
      <c r="N76" s="1115">
        <v>30</v>
      </c>
      <c r="O76" s="1115">
        <v>2</v>
      </c>
      <c r="P76" s="1115">
        <v>41</v>
      </c>
      <c r="Q76" s="1115">
        <v>100</v>
      </c>
      <c r="R76" s="1115">
        <v>41</v>
      </c>
      <c r="S76" s="1120"/>
      <c r="T76" s="1120"/>
      <c r="U76" s="1120"/>
      <c r="V76" s="1120"/>
      <c r="W76" s="1120"/>
      <c r="X76" s="1120"/>
      <c r="Y76" s="1008">
        <f t="shared" si="73"/>
        <v>30000000</v>
      </c>
      <c r="Z76" s="944"/>
      <c r="AA76" s="1008"/>
      <c r="AB76" s="1008"/>
      <c r="AC76" s="1008"/>
      <c r="AD76" s="1008"/>
      <c r="AE76" s="1008">
        <v>30000000</v>
      </c>
      <c r="AF76" s="1008"/>
      <c r="AG76" s="1008"/>
      <c r="AH76" s="1008"/>
      <c r="AI76" s="1008"/>
      <c r="AJ76" s="1008"/>
      <c r="AK76" s="1008"/>
      <c r="AL76" s="1008"/>
      <c r="AM76" s="1008"/>
      <c r="AN76" s="1008"/>
      <c r="AO76" s="1008"/>
      <c r="AP76" s="1008"/>
      <c r="AQ76" s="1008"/>
      <c r="AR76" s="1008"/>
      <c r="AS76" s="1008"/>
      <c r="AU76" s="1011">
        <f t="shared" si="74"/>
        <v>1</v>
      </c>
      <c r="AV76" s="1008">
        <f t="shared" si="75"/>
        <v>30000000</v>
      </c>
      <c r="AW76" s="1008"/>
      <c r="AX76" s="1008"/>
      <c r="AY76" s="1008"/>
      <c r="AZ76" s="1008"/>
      <c r="BA76" s="1008"/>
      <c r="BB76" s="1008">
        <f>+'[9]FEBRERO 2015'!$N$1070</f>
        <v>30000000</v>
      </c>
      <c r="BC76" s="1008"/>
      <c r="BD76" s="1008"/>
      <c r="BE76" s="1008"/>
      <c r="BF76" s="1008"/>
      <c r="BG76" s="1008"/>
      <c r="BH76" s="1008"/>
      <c r="BI76" s="1008"/>
      <c r="BJ76" s="1008"/>
      <c r="BK76" s="1008"/>
      <c r="BL76" s="1008"/>
      <c r="BM76" s="1008"/>
      <c r="BN76" s="1008"/>
      <c r="BO76" s="1008"/>
      <c r="BP76" s="1008"/>
      <c r="BQ76" s="1011">
        <f t="shared" si="25"/>
        <v>0</v>
      </c>
      <c r="BR76" s="1008">
        <f t="shared" si="76"/>
        <v>0</v>
      </c>
      <c r="BS76" s="1008">
        <f t="shared" si="77"/>
        <v>0</v>
      </c>
      <c r="BT76" s="1008">
        <f t="shared" si="78"/>
        <v>0</v>
      </c>
      <c r="BU76" s="1008"/>
      <c r="BV76" s="1008">
        <f t="shared" si="79"/>
        <v>0</v>
      </c>
      <c r="BW76" s="1008"/>
      <c r="BX76" s="1008">
        <f t="shared" si="80"/>
        <v>0</v>
      </c>
      <c r="BY76" s="1008">
        <f t="shared" si="80"/>
        <v>0</v>
      </c>
      <c r="BZ76" s="1008"/>
      <c r="CA76" s="1008">
        <f>AH76-BE76</f>
        <v>0</v>
      </c>
      <c r="CB76" s="1008">
        <f t="shared" si="81"/>
        <v>0</v>
      </c>
      <c r="CC76" s="1008">
        <f t="shared" si="81"/>
        <v>0</v>
      </c>
      <c r="CD76" s="1008">
        <f t="shared" si="81"/>
        <v>0</v>
      </c>
      <c r="CE76" s="1008">
        <f t="shared" si="81"/>
        <v>0</v>
      </c>
      <c r="CF76" s="1008">
        <f t="shared" si="81"/>
        <v>0</v>
      </c>
      <c r="CG76" s="1008">
        <f>AN76-BK76</f>
        <v>0</v>
      </c>
      <c r="CH76" s="1008">
        <f t="shared" si="81"/>
        <v>0</v>
      </c>
      <c r="CI76" s="1008">
        <f t="shared" si="81"/>
        <v>0</v>
      </c>
      <c r="CJ76" s="1008">
        <f>+AQ76-BN76</f>
        <v>0</v>
      </c>
      <c r="CK76" s="1008"/>
      <c r="CL76" s="1008">
        <f t="shared" si="82"/>
        <v>0</v>
      </c>
      <c r="CM76" s="1011">
        <f t="shared" si="83"/>
        <v>0.40760000000000002</v>
      </c>
      <c r="CN76" s="1008">
        <f t="shared" si="84"/>
        <v>12228000</v>
      </c>
      <c r="CO76" s="1008"/>
      <c r="CP76" s="1008"/>
      <c r="CQ76" s="1008"/>
      <c r="CR76" s="1008"/>
      <c r="CS76" s="1008"/>
      <c r="CT76" s="1008">
        <f>+'[14]JUNIO 2015'!$H$1939</f>
        <v>12228000</v>
      </c>
      <c r="CU76" s="1008"/>
      <c r="CV76" s="1008"/>
      <c r="CW76" s="1008"/>
      <c r="CX76" s="1008"/>
      <c r="CY76" s="1008"/>
      <c r="CZ76" s="1008"/>
      <c r="DA76" s="1008"/>
      <c r="DB76" s="1008"/>
      <c r="DC76" s="1008"/>
      <c r="DD76" s="1008"/>
      <c r="DE76" s="1008"/>
      <c r="DF76" s="1008"/>
      <c r="DG76" s="1008"/>
      <c r="DH76" s="1008"/>
      <c r="DI76" s="1011">
        <f t="shared" si="70"/>
        <v>0.59240000000000004</v>
      </c>
      <c r="DJ76" s="1008">
        <f t="shared" si="85"/>
        <v>17772000</v>
      </c>
      <c r="DK76" s="1008"/>
      <c r="DL76" s="1008"/>
      <c r="DM76" s="1008"/>
      <c r="DN76" s="1008">
        <f t="shared" si="86"/>
        <v>0</v>
      </c>
      <c r="DO76" s="1008"/>
      <c r="DP76" s="1008">
        <f t="shared" si="87"/>
        <v>17772000</v>
      </c>
      <c r="DQ76" s="1008">
        <f t="shared" si="87"/>
        <v>0</v>
      </c>
      <c r="DR76" s="1008"/>
      <c r="DS76" s="1008">
        <f t="shared" si="88"/>
        <v>0</v>
      </c>
      <c r="DT76" s="1008">
        <f t="shared" si="88"/>
        <v>0</v>
      </c>
      <c r="DU76" s="1008"/>
      <c r="DV76" s="1008">
        <f t="shared" si="89"/>
        <v>0</v>
      </c>
      <c r="DW76" s="1008">
        <f t="shared" si="89"/>
        <v>0</v>
      </c>
      <c r="DX76" s="1008">
        <f t="shared" si="89"/>
        <v>0</v>
      </c>
      <c r="DY76" s="1008">
        <f t="shared" si="90"/>
        <v>0</v>
      </c>
      <c r="DZ76" s="1008">
        <f t="shared" si="90"/>
        <v>0</v>
      </c>
      <c r="EA76" s="1008">
        <f t="shared" si="90"/>
        <v>0</v>
      </c>
      <c r="EB76" s="1008">
        <f t="shared" si="90"/>
        <v>0</v>
      </c>
      <c r="EC76" s="1008"/>
      <c r="ED76" s="1008">
        <f t="shared" si="91"/>
        <v>0</v>
      </c>
    </row>
    <row r="77" spans="1:134" ht="30" customHeight="1" x14ac:dyDescent="0.25">
      <c r="A77" s="1565"/>
      <c r="B77" s="1019" t="s">
        <v>4350</v>
      </c>
      <c r="C77" s="1116" t="s">
        <v>4414</v>
      </c>
      <c r="D77" s="1019" t="s">
        <v>4351</v>
      </c>
      <c r="E77" s="1020">
        <v>520</v>
      </c>
      <c r="F77" s="1120" t="s">
        <v>4736</v>
      </c>
      <c r="G77" s="1399">
        <v>1710000000</v>
      </c>
      <c r="H77" s="1061">
        <f t="shared" si="71"/>
        <v>0</v>
      </c>
      <c r="I77" s="1061">
        <f t="shared" si="72"/>
        <v>2898900</v>
      </c>
      <c r="J77" s="1399" t="s">
        <v>4864</v>
      </c>
      <c r="K77" s="1283" t="s">
        <v>4870</v>
      </c>
      <c r="L77" s="1283" t="s">
        <v>4877</v>
      </c>
      <c r="M77" s="1115">
        <v>0</v>
      </c>
      <c r="N77" s="1115">
        <v>0</v>
      </c>
      <c r="O77" s="1115">
        <v>0</v>
      </c>
      <c r="P77" s="1115">
        <v>0</v>
      </c>
      <c r="Q77" s="1115">
        <v>0</v>
      </c>
      <c r="R77" s="1115">
        <v>0</v>
      </c>
      <c r="S77" s="1120"/>
      <c r="T77" s="1120"/>
      <c r="U77" s="1120"/>
      <c r="V77" s="1120"/>
      <c r="W77" s="1120"/>
      <c r="X77" s="1120"/>
      <c r="Y77" s="1008">
        <f t="shared" si="73"/>
        <v>2898900</v>
      </c>
      <c r="Z77" s="944"/>
      <c r="AA77" s="944"/>
      <c r="AB77" s="944"/>
      <c r="AC77" s="944"/>
      <c r="AD77" s="944"/>
      <c r="AE77" s="944"/>
      <c r="AF77" s="1008"/>
      <c r="AG77" s="1008"/>
      <c r="AH77" s="1008"/>
      <c r="AI77" s="1008"/>
      <c r="AJ77" s="1008"/>
      <c r="AK77" s="1008"/>
      <c r="AL77" s="1008"/>
      <c r="AM77" s="1008"/>
      <c r="AN77" s="1008"/>
      <c r="AO77" s="1008"/>
      <c r="AP77" s="1008"/>
      <c r="AQ77" s="1008"/>
      <c r="AR77" s="1008"/>
      <c r="AS77" s="1008">
        <f>2500000+398900</f>
        <v>2898900</v>
      </c>
      <c r="AU77" s="1011">
        <f t="shared" si="74"/>
        <v>1</v>
      </c>
      <c r="AV77" s="1008">
        <f t="shared" si="75"/>
        <v>2898900</v>
      </c>
      <c r="AW77" s="1008"/>
      <c r="AX77" s="1008"/>
      <c r="AY77" s="1008"/>
      <c r="AZ77" s="1008"/>
      <c r="BA77" s="1008"/>
      <c r="BB77" s="1008"/>
      <c r="BC77" s="1008"/>
      <c r="BD77" s="1008"/>
      <c r="BE77" s="1008"/>
      <c r="BF77" s="1008"/>
      <c r="BG77" s="1008"/>
      <c r="BH77" s="1008"/>
      <c r="BI77" s="1008"/>
      <c r="BJ77" s="1008"/>
      <c r="BK77" s="1008"/>
      <c r="BL77" s="1008"/>
      <c r="BM77" s="1008"/>
      <c r="BN77" s="1008"/>
      <c r="BO77" s="1008"/>
      <c r="BP77" s="1008">
        <f>+'[15]JULIO 2015'!$AD$2291</f>
        <v>2898900</v>
      </c>
      <c r="BQ77" s="1011">
        <f t="shared" si="25"/>
        <v>0</v>
      </c>
      <c r="BR77" s="1008">
        <f t="shared" si="76"/>
        <v>0</v>
      </c>
      <c r="BS77" s="1008">
        <f t="shared" si="77"/>
        <v>0</v>
      </c>
      <c r="BT77" s="1008">
        <f t="shared" si="78"/>
        <v>0</v>
      </c>
      <c r="BU77" s="1008"/>
      <c r="BV77" s="1008">
        <f t="shared" si="79"/>
        <v>0</v>
      </c>
      <c r="BW77" s="1008"/>
      <c r="BX77" s="1008">
        <f t="shared" si="80"/>
        <v>0</v>
      </c>
      <c r="BY77" s="1008">
        <f t="shared" si="80"/>
        <v>0</v>
      </c>
      <c r="BZ77" s="1008"/>
      <c r="CA77" s="1008">
        <f>AH77-BE77</f>
        <v>0</v>
      </c>
      <c r="CB77" s="1008">
        <f t="shared" si="81"/>
        <v>0</v>
      </c>
      <c r="CC77" s="1008">
        <f t="shared" si="81"/>
        <v>0</v>
      </c>
      <c r="CD77" s="1008">
        <f t="shared" si="81"/>
        <v>0</v>
      </c>
      <c r="CE77" s="1008">
        <f t="shared" si="81"/>
        <v>0</v>
      </c>
      <c r="CF77" s="1008">
        <f t="shared" si="81"/>
        <v>0</v>
      </c>
      <c r="CG77" s="1008">
        <f>AN77-BK77</f>
        <v>0</v>
      </c>
      <c r="CH77" s="1008">
        <f t="shared" si="81"/>
        <v>0</v>
      </c>
      <c r="CI77" s="1008">
        <f t="shared" si="81"/>
        <v>0</v>
      </c>
      <c r="CJ77" s="1008"/>
      <c r="CK77" s="1008"/>
      <c r="CL77" s="1008">
        <f t="shared" si="82"/>
        <v>0</v>
      </c>
      <c r="CM77" s="1011">
        <f t="shared" si="83"/>
        <v>0</v>
      </c>
      <c r="CN77" s="1008">
        <f t="shared" si="84"/>
        <v>0</v>
      </c>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11">
        <f t="shared" si="70"/>
        <v>1</v>
      </c>
      <c r="DJ77" s="1008">
        <f t="shared" si="85"/>
        <v>2898900</v>
      </c>
      <c r="DK77" s="1008"/>
      <c r="DL77" s="1008"/>
      <c r="DM77" s="1008"/>
      <c r="DN77" s="1008">
        <f t="shared" si="86"/>
        <v>0</v>
      </c>
      <c r="DO77" s="1008"/>
      <c r="DP77" s="1008">
        <f t="shared" si="87"/>
        <v>0</v>
      </c>
      <c r="DQ77" s="1008">
        <f t="shared" si="87"/>
        <v>0</v>
      </c>
      <c r="DR77" s="1008"/>
      <c r="DS77" s="1008">
        <f t="shared" si="88"/>
        <v>0</v>
      </c>
      <c r="DT77" s="1008">
        <f t="shared" si="88"/>
        <v>0</v>
      </c>
      <c r="DU77" s="1008"/>
      <c r="DV77" s="1008">
        <f t="shared" si="89"/>
        <v>0</v>
      </c>
      <c r="DW77" s="1008">
        <f t="shared" si="89"/>
        <v>0</v>
      </c>
      <c r="DX77" s="1008">
        <f t="shared" si="89"/>
        <v>0</v>
      </c>
      <c r="DY77" s="1008">
        <f t="shared" si="90"/>
        <v>0</v>
      </c>
      <c r="DZ77" s="1008">
        <f t="shared" si="90"/>
        <v>0</v>
      </c>
      <c r="EA77" s="1008">
        <f t="shared" si="90"/>
        <v>0</v>
      </c>
      <c r="EB77" s="1008">
        <f t="shared" si="90"/>
        <v>0</v>
      </c>
      <c r="EC77" s="1008"/>
      <c r="ED77" s="1008">
        <f t="shared" si="91"/>
        <v>2898900</v>
      </c>
    </row>
    <row r="78" spans="1:134" ht="24.75" customHeight="1" x14ac:dyDescent="0.25">
      <c r="A78" s="1565"/>
      <c r="B78" s="1019"/>
      <c r="C78" s="1116" t="s">
        <v>4415</v>
      </c>
      <c r="D78" s="1019" t="s">
        <v>4651</v>
      </c>
      <c r="E78" s="1020">
        <v>520</v>
      </c>
      <c r="F78" s="1120" t="s">
        <v>4319</v>
      </c>
      <c r="G78" s="1400"/>
      <c r="H78" s="1061">
        <f t="shared" si="71"/>
        <v>273724134</v>
      </c>
      <c r="I78" s="1061">
        <f t="shared" si="72"/>
        <v>1275866</v>
      </c>
      <c r="J78" s="1401"/>
      <c r="K78" s="1284"/>
      <c r="L78" s="1284"/>
      <c r="M78" s="1115">
        <v>11</v>
      </c>
      <c r="N78" s="1115">
        <v>140</v>
      </c>
      <c r="O78" s="1115">
        <v>15</v>
      </c>
      <c r="P78" s="1115">
        <v>72</v>
      </c>
      <c r="Q78" s="1115">
        <v>160</v>
      </c>
      <c r="R78" s="1115">
        <v>116</v>
      </c>
      <c r="S78" s="1120"/>
      <c r="T78" s="1120"/>
      <c r="U78" s="1120"/>
      <c r="V78" s="1120"/>
      <c r="W78" s="1120"/>
      <c r="X78" s="1120"/>
      <c r="Y78" s="1008">
        <f t="shared" si="73"/>
        <v>275000000</v>
      </c>
      <c r="Z78" s="944"/>
      <c r="AA78" s="1017">
        <f>300000000-300000000</f>
        <v>0</v>
      </c>
      <c r="AB78" s="1017"/>
      <c r="AC78" s="944"/>
      <c r="AD78" s="944"/>
      <c r="AE78" s="944"/>
      <c r="AF78" s="1008">
        <f>300000000-25000000</f>
        <v>275000000</v>
      </c>
      <c r="AG78" s="1008"/>
      <c r="AH78" s="1008"/>
      <c r="AI78" s="1008"/>
      <c r="AJ78" s="1008"/>
      <c r="AK78" s="1008"/>
      <c r="AL78" s="1008"/>
      <c r="AM78" s="1008"/>
      <c r="AN78" s="1008"/>
      <c r="AO78" s="1008"/>
      <c r="AP78" s="1008"/>
      <c r="AQ78" s="1008"/>
      <c r="AR78" s="1008"/>
      <c r="AS78" s="1008"/>
      <c r="AU78" s="1011">
        <f t="shared" si="74"/>
        <v>1</v>
      </c>
      <c r="AV78" s="1008">
        <f t="shared" si="75"/>
        <v>275000000</v>
      </c>
      <c r="AW78" s="1008"/>
      <c r="AX78" s="1008"/>
      <c r="AY78" s="1008"/>
      <c r="AZ78" s="1008"/>
      <c r="BA78" s="1008"/>
      <c r="BB78" s="1008"/>
      <c r="BC78" s="1008">
        <f>+'[8]FEBRERO 2015'!$O$1154-25000000</f>
        <v>275000000</v>
      </c>
      <c r="BD78" s="1008"/>
      <c r="BE78" s="1008"/>
      <c r="BF78" s="1008"/>
      <c r="BG78" s="1008"/>
      <c r="BH78" s="1008"/>
      <c r="BI78" s="1008"/>
      <c r="BJ78" s="1008"/>
      <c r="BK78" s="1008"/>
      <c r="BL78" s="1008"/>
      <c r="BM78" s="1008"/>
      <c r="BN78" s="1008"/>
      <c r="BO78" s="1008"/>
      <c r="BP78" s="1008"/>
      <c r="BQ78" s="1011">
        <f t="shared" si="25"/>
        <v>0</v>
      </c>
      <c r="BR78" s="1008">
        <f t="shared" si="76"/>
        <v>0</v>
      </c>
      <c r="BS78" s="1008">
        <f t="shared" si="77"/>
        <v>0</v>
      </c>
      <c r="BT78" s="1008">
        <f t="shared" si="78"/>
        <v>0</v>
      </c>
      <c r="BU78" s="1008"/>
      <c r="BV78" s="1008">
        <f t="shared" si="79"/>
        <v>0</v>
      </c>
      <c r="BW78" s="1008"/>
      <c r="BX78" s="1008">
        <f t="shared" si="80"/>
        <v>0</v>
      </c>
      <c r="BY78" s="1008">
        <f t="shared" si="80"/>
        <v>0</v>
      </c>
      <c r="BZ78" s="1008"/>
      <c r="CA78" s="1008">
        <f>AH78-BE78</f>
        <v>0</v>
      </c>
      <c r="CB78" s="1008">
        <f t="shared" si="81"/>
        <v>0</v>
      </c>
      <c r="CC78" s="1008">
        <f t="shared" si="81"/>
        <v>0</v>
      </c>
      <c r="CD78" s="1008">
        <f t="shared" si="81"/>
        <v>0</v>
      </c>
      <c r="CE78" s="1008">
        <f t="shared" si="81"/>
        <v>0</v>
      </c>
      <c r="CF78" s="1008">
        <f t="shared" si="81"/>
        <v>0</v>
      </c>
      <c r="CG78" s="1008">
        <f>AN78-BK78</f>
        <v>0</v>
      </c>
      <c r="CH78" s="1008">
        <f t="shared" si="81"/>
        <v>0</v>
      </c>
      <c r="CI78" s="1008">
        <f t="shared" si="81"/>
        <v>0</v>
      </c>
      <c r="CJ78" s="1008"/>
      <c r="CK78" s="1008"/>
      <c r="CL78" s="1008">
        <f t="shared" si="82"/>
        <v>0</v>
      </c>
      <c r="CM78" s="1011">
        <f t="shared" si="83"/>
        <v>0.9953604872727273</v>
      </c>
      <c r="CN78" s="1008">
        <f t="shared" si="84"/>
        <v>273724134</v>
      </c>
      <c r="CO78" s="1008"/>
      <c r="CP78" s="1008"/>
      <c r="CQ78" s="1008"/>
      <c r="CR78" s="1008"/>
      <c r="CS78" s="1008"/>
      <c r="CT78" s="1008"/>
      <c r="CU78" s="1008">
        <f>+'[18]OCTUBRE 2015'!$H$3574</f>
        <v>273724134</v>
      </c>
      <c r="CV78" s="1008"/>
      <c r="CW78" s="1008"/>
      <c r="CX78" s="1008"/>
      <c r="CY78" s="1008"/>
      <c r="CZ78" s="1008"/>
      <c r="DA78" s="1008"/>
      <c r="DB78" s="1008"/>
      <c r="DC78" s="1008"/>
      <c r="DD78" s="1008"/>
      <c r="DE78" s="1008"/>
      <c r="DF78" s="1008"/>
      <c r="DG78" s="1008"/>
      <c r="DH78" s="1008"/>
      <c r="DI78" s="1011">
        <f t="shared" si="70"/>
        <v>4.6395127272726988E-3</v>
      </c>
      <c r="DJ78" s="1008">
        <f t="shared" si="85"/>
        <v>1275866</v>
      </c>
      <c r="DK78" s="1008"/>
      <c r="DL78" s="1008">
        <f>AA78-CP78</f>
        <v>0</v>
      </c>
      <c r="DM78" s="1008">
        <f>AB78-CQ78</f>
        <v>0</v>
      </c>
      <c r="DN78" s="1008">
        <f t="shared" si="86"/>
        <v>0</v>
      </c>
      <c r="DO78" s="1008"/>
      <c r="DP78" s="1008">
        <f t="shared" si="87"/>
        <v>0</v>
      </c>
      <c r="DQ78" s="1008">
        <f t="shared" si="87"/>
        <v>1275866</v>
      </c>
      <c r="DR78" s="1008"/>
      <c r="DS78" s="1008">
        <f t="shared" si="88"/>
        <v>0</v>
      </c>
      <c r="DT78" s="1008">
        <f t="shared" si="88"/>
        <v>0</v>
      </c>
      <c r="DU78" s="1008"/>
      <c r="DV78" s="1008">
        <f t="shared" si="89"/>
        <v>0</v>
      </c>
      <c r="DW78" s="1008">
        <f t="shared" si="89"/>
        <v>0</v>
      </c>
      <c r="DX78" s="1008">
        <f t="shared" si="89"/>
        <v>0</v>
      </c>
      <c r="DY78" s="1008">
        <f t="shared" si="90"/>
        <v>0</v>
      </c>
      <c r="DZ78" s="1008">
        <f t="shared" si="90"/>
        <v>0</v>
      </c>
      <c r="EA78" s="1008">
        <f t="shared" si="90"/>
        <v>0</v>
      </c>
      <c r="EB78" s="1008">
        <f t="shared" si="90"/>
        <v>0</v>
      </c>
      <c r="EC78" s="1008"/>
      <c r="ED78" s="1008">
        <f t="shared" si="91"/>
        <v>0</v>
      </c>
    </row>
    <row r="79" spans="1:134" ht="46.5" customHeight="1" x14ac:dyDescent="0.25">
      <c r="A79" s="1565"/>
      <c r="B79" s="1019"/>
      <c r="C79" s="1116" t="s">
        <v>4416</v>
      </c>
      <c r="D79" s="1019" t="s">
        <v>4352</v>
      </c>
      <c r="E79" s="1020">
        <v>520</v>
      </c>
      <c r="F79" s="1120" t="s">
        <v>4347</v>
      </c>
      <c r="G79" s="1400"/>
      <c r="H79" s="1061">
        <f t="shared" si="71"/>
        <v>770398</v>
      </c>
      <c r="I79" s="1061">
        <f t="shared" si="72"/>
        <v>13396003</v>
      </c>
      <c r="J79" s="1120" t="s">
        <v>4865</v>
      </c>
      <c r="K79" s="1115" t="s">
        <v>4871</v>
      </c>
      <c r="L79" s="1115" t="s">
        <v>4878</v>
      </c>
      <c r="M79" s="1115">
        <v>10</v>
      </c>
      <c r="N79" s="1115">
        <v>0</v>
      </c>
      <c r="O79" s="1115">
        <v>0</v>
      </c>
      <c r="P79" s="1115">
        <v>5</v>
      </c>
      <c r="Q79" s="1115">
        <v>0</v>
      </c>
      <c r="R79" s="1115">
        <v>0</v>
      </c>
      <c r="S79" s="1120"/>
      <c r="T79" s="1120"/>
      <c r="U79" s="1120"/>
      <c r="V79" s="1120"/>
      <c r="W79" s="1120"/>
      <c r="X79" s="1120"/>
      <c r="Y79" s="1008">
        <f t="shared" si="73"/>
        <v>14166401</v>
      </c>
      <c r="Z79" s="944"/>
      <c r="AA79" s="944"/>
      <c r="AB79" s="944"/>
      <c r="AC79" s="944"/>
      <c r="AD79" s="944"/>
      <c r="AE79" s="944"/>
      <c r="AF79" s="1008"/>
      <c r="AG79" s="1008"/>
      <c r="AH79" s="1008"/>
      <c r="AI79" s="1008"/>
      <c r="AJ79" s="1008"/>
      <c r="AK79" s="1008"/>
      <c r="AL79" s="1008"/>
      <c r="AM79" s="1008"/>
      <c r="AN79" s="1008"/>
      <c r="AO79" s="1008"/>
      <c r="AP79" s="1008"/>
      <c r="AQ79" s="1008"/>
      <c r="AR79" s="1008"/>
      <c r="AS79" s="1008">
        <f>5000000+3000000+6166401</f>
        <v>14166401</v>
      </c>
      <c r="AU79" s="1011">
        <f t="shared" si="74"/>
        <v>0.3529477952798315</v>
      </c>
      <c r="AV79" s="1008">
        <f t="shared" si="75"/>
        <v>5000000</v>
      </c>
      <c r="AW79" s="1008"/>
      <c r="AX79" s="1008"/>
      <c r="AY79" s="1008"/>
      <c r="AZ79" s="1008"/>
      <c r="BA79" s="1008"/>
      <c r="BB79" s="1008"/>
      <c r="BC79" s="1008"/>
      <c r="BD79" s="1008"/>
      <c r="BE79" s="1008"/>
      <c r="BF79" s="1008"/>
      <c r="BG79" s="1008"/>
      <c r="BH79" s="1008"/>
      <c r="BI79" s="1008"/>
      <c r="BJ79" s="1008"/>
      <c r="BK79" s="1008"/>
      <c r="BL79" s="1008"/>
      <c r="BM79" s="1008"/>
      <c r="BN79" s="1008"/>
      <c r="BO79" s="1008"/>
      <c r="BP79" s="1008">
        <f>+'[9]FEBRERO 2015'!$AC$1088</f>
        <v>5000000</v>
      </c>
      <c r="BQ79" s="1011">
        <f t="shared" si="25"/>
        <v>0.64705220472016856</v>
      </c>
      <c r="BR79" s="1008">
        <f t="shared" si="76"/>
        <v>9166401</v>
      </c>
      <c r="BS79" s="1008">
        <f t="shared" si="77"/>
        <v>0</v>
      </c>
      <c r="BT79" s="1008">
        <f t="shared" si="78"/>
        <v>0</v>
      </c>
      <c r="BU79" s="1008"/>
      <c r="BV79" s="1008">
        <f t="shared" si="79"/>
        <v>0</v>
      </c>
      <c r="BW79" s="1008"/>
      <c r="BX79" s="1008">
        <f t="shared" si="80"/>
        <v>0</v>
      </c>
      <c r="BY79" s="1008">
        <f t="shared" si="80"/>
        <v>0</v>
      </c>
      <c r="BZ79" s="1008"/>
      <c r="CA79" s="1008">
        <f>AH79-BE79</f>
        <v>0</v>
      </c>
      <c r="CB79" s="1008">
        <f t="shared" si="81"/>
        <v>0</v>
      </c>
      <c r="CC79" s="1008">
        <f t="shared" si="81"/>
        <v>0</v>
      </c>
      <c r="CD79" s="1008">
        <f t="shared" si="81"/>
        <v>0</v>
      </c>
      <c r="CE79" s="1008">
        <f t="shared" si="81"/>
        <v>0</v>
      </c>
      <c r="CF79" s="1008">
        <f t="shared" si="81"/>
        <v>0</v>
      </c>
      <c r="CG79" s="1008">
        <f>AN79-BK79</f>
        <v>0</v>
      </c>
      <c r="CH79" s="1008">
        <f t="shared" si="81"/>
        <v>0</v>
      </c>
      <c r="CI79" s="1008">
        <f t="shared" si="81"/>
        <v>0</v>
      </c>
      <c r="CJ79" s="1008"/>
      <c r="CK79" s="1008"/>
      <c r="CL79" s="1008">
        <f t="shared" si="82"/>
        <v>9166401</v>
      </c>
      <c r="CM79" s="1011">
        <f t="shared" si="83"/>
        <v>5.4382055117598325E-2</v>
      </c>
      <c r="CN79" s="1008">
        <f t="shared" si="84"/>
        <v>770398</v>
      </c>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f>+'[9]FEBRERO 2015'!$H$1086</f>
        <v>770398</v>
      </c>
      <c r="DI79" s="1011">
        <f t="shared" si="70"/>
        <v>0.9456179448824017</v>
      </c>
      <c r="DJ79" s="1008">
        <f t="shared" si="85"/>
        <v>13396003</v>
      </c>
      <c r="DK79" s="1008"/>
      <c r="DL79" s="1008"/>
      <c r="DM79" s="1008"/>
      <c r="DN79" s="1008">
        <f t="shared" si="86"/>
        <v>0</v>
      </c>
      <c r="DO79" s="1008"/>
      <c r="DP79" s="1008">
        <f t="shared" si="87"/>
        <v>0</v>
      </c>
      <c r="DQ79" s="1008">
        <f t="shared" si="87"/>
        <v>0</v>
      </c>
      <c r="DR79" s="1008"/>
      <c r="DS79" s="1008">
        <f t="shared" si="88"/>
        <v>0</v>
      </c>
      <c r="DT79" s="1008">
        <f t="shared" si="88"/>
        <v>0</v>
      </c>
      <c r="DU79" s="1008"/>
      <c r="DV79" s="1008">
        <f t="shared" si="89"/>
        <v>0</v>
      </c>
      <c r="DW79" s="1008">
        <f t="shared" si="89"/>
        <v>0</v>
      </c>
      <c r="DX79" s="1008">
        <f t="shared" si="89"/>
        <v>0</v>
      </c>
      <c r="DY79" s="1008">
        <f t="shared" si="90"/>
        <v>0</v>
      </c>
      <c r="DZ79" s="1008">
        <f t="shared" si="90"/>
        <v>0</v>
      </c>
      <c r="EA79" s="1008">
        <f t="shared" si="90"/>
        <v>0</v>
      </c>
      <c r="EB79" s="1008">
        <f t="shared" si="90"/>
        <v>0</v>
      </c>
      <c r="EC79" s="1008"/>
      <c r="ED79" s="1008">
        <f t="shared" si="91"/>
        <v>13396003</v>
      </c>
    </row>
    <row r="80" spans="1:134" ht="37.5" customHeight="1" x14ac:dyDescent="0.25">
      <c r="A80" s="1565"/>
      <c r="B80" s="1019"/>
      <c r="C80" s="1116" t="s">
        <v>4417</v>
      </c>
      <c r="D80" s="1019" t="s">
        <v>4355</v>
      </c>
      <c r="E80" s="1020">
        <v>520</v>
      </c>
      <c r="F80" s="1120" t="s">
        <v>4670</v>
      </c>
      <c r="G80" s="1400"/>
      <c r="H80" s="1061">
        <f t="shared" si="71"/>
        <v>4550000</v>
      </c>
      <c r="I80" s="1061">
        <f t="shared" si="72"/>
        <v>0</v>
      </c>
      <c r="J80" s="1120" t="s">
        <v>4866</v>
      </c>
      <c r="K80" s="1115" t="s">
        <v>4872</v>
      </c>
      <c r="L80" s="1115" t="s">
        <v>4879</v>
      </c>
      <c r="M80" s="1115">
        <v>0</v>
      </c>
      <c r="N80" s="1115">
        <v>0</v>
      </c>
      <c r="O80" s="1115">
        <v>0</v>
      </c>
      <c r="P80" s="1115">
        <v>46</v>
      </c>
      <c r="Q80" s="1115">
        <v>50</v>
      </c>
      <c r="R80" s="1115">
        <v>23</v>
      </c>
      <c r="S80" s="1120"/>
      <c r="T80" s="1120"/>
      <c r="U80" s="1120"/>
      <c r="V80" s="1120"/>
      <c r="W80" s="1120"/>
      <c r="X80" s="1120"/>
      <c r="Y80" s="1008">
        <f t="shared" si="73"/>
        <v>4550000</v>
      </c>
      <c r="Z80" s="944"/>
      <c r="AA80" s="944"/>
      <c r="AB80" s="944"/>
      <c r="AC80" s="944"/>
      <c r="AD80" s="944"/>
      <c r="AE80" s="944"/>
      <c r="AF80" s="1008"/>
      <c r="AG80" s="1008"/>
      <c r="AH80" s="1008"/>
      <c r="AI80" s="1008"/>
      <c r="AJ80" s="1008"/>
      <c r="AK80" s="1008"/>
      <c r="AL80" s="1008"/>
      <c r="AM80" s="1008"/>
      <c r="AN80" s="1008"/>
      <c r="AO80" s="1008"/>
      <c r="AP80" s="1008"/>
      <c r="AQ80" s="1008"/>
      <c r="AR80" s="1008"/>
      <c r="AS80" s="1008">
        <f>5000000+5000000-5450000</f>
        <v>4550000</v>
      </c>
      <c r="AU80" s="1011">
        <f t="shared" si="74"/>
        <v>1</v>
      </c>
      <c r="AV80" s="1008">
        <f t="shared" si="75"/>
        <v>4550000</v>
      </c>
      <c r="AW80" s="1008"/>
      <c r="AX80" s="1008"/>
      <c r="AY80" s="1008"/>
      <c r="AZ80" s="1008"/>
      <c r="BA80" s="1008"/>
      <c r="BB80" s="1008"/>
      <c r="BC80" s="1008"/>
      <c r="BD80" s="1008"/>
      <c r="BE80" s="1008"/>
      <c r="BF80" s="1008"/>
      <c r="BG80" s="1008"/>
      <c r="BH80" s="1008"/>
      <c r="BI80" s="1008"/>
      <c r="BJ80" s="1008"/>
      <c r="BK80" s="1008"/>
      <c r="BL80" s="1008"/>
      <c r="BM80" s="1008"/>
      <c r="BN80" s="1008"/>
      <c r="BO80" s="1008"/>
      <c r="BP80" s="1008">
        <f>+'[16]AGOSTO 2015'!$AD$2654</f>
        <v>4550000</v>
      </c>
      <c r="BQ80" s="1011">
        <f t="shared" si="25"/>
        <v>0</v>
      </c>
      <c r="BR80" s="1008">
        <f t="shared" si="76"/>
        <v>0</v>
      </c>
      <c r="BS80" s="1008">
        <f t="shared" si="77"/>
        <v>0</v>
      </c>
      <c r="BT80" s="1008">
        <f t="shared" si="78"/>
        <v>0</v>
      </c>
      <c r="BU80" s="1008"/>
      <c r="BV80" s="1008">
        <f t="shared" si="79"/>
        <v>0</v>
      </c>
      <c r="BW80" s="1008"/>
      <c r="BX80" s="1008">
        <f t="shared" si="80"/>
        <v>0</v>
      </c>
      <c r="BY80" s="1008">
        <f t="shared" si="80"/>
        <v>0</v>
      </c>
      <c r="BZ80" s="1008"/>
      <c r="CA80" s="1008">
        <f>AH80-BE80</f>
        <v>0</v>
      </c>
      <c r="CB80" s="1008">
        <f t="shared" si="81"/>
        <v>0</v>
      </c>
      <c r="CC80" s="1008"/>
      <c r="CD80" s="1008">
        <f t="shared" si="81"/>
        <v>0</v>
      </c>
      <c r="CE80" s="1008">
        <f t="shared" si="81"/>
        <v>0</v>
      </c>
      <c r="CF80" s="1008">
        <f t="shared" si="81"/>
        <v>0</v>
      </c>
      <c r="CG80" s="1008">
        <f>AN80-BK80</f>
        <v>0</v>
      </c>
      <c r="CH80" s="1008">
        <f t="shared" si="81"/>
        <v>0</v>
      </c>
      <c r="CI80" s="1008">
        <f t="shared" si="81"/>
        <v>0</v>
      </c>
      <c r="CJ80" s="1008"/>
      <c r="CK80" s="1008"/>
      <c r="CL80" s="1008">
        <f t="shared" si="82"/>
        <v>0</v>
      </c>
      <c r="CM80" s="1011">
        <f t="shared" si="83"/>
        <v>1</v>
      </c>
      <c r="CN80" s="1008">
        <f t="shared" si="84"/>
        <v>4550000</v>
      </c>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f>+'[14]JUNIO 2015'!$H$2022</f>
        <v>4550000</v>
      </c>
      <c r="DI80" s="1011">
        <f t="shared" si="70"/>
        <v>0</v>
      </c>
      <c r="DJ80" s="1008">
        <f t="shared" si="85"/>
        <v>0</v>
      </c>
      <c r="DK80" s="1008"/>
      <c r="DL80" s="1008"/>
      <c r="DM80" s="1008"/>
      <c r="DN80" s="1008">
        <f t="shared" si="86"/>
        <v>0</v>
      </c>
      <c r="DO80" s="1008"/>
      <c r="DP80" s="1008">
        <f t="shared" si="87"/>
        <v>0</v>
      </c>
      <c r="DQ80" s="1008">
        <f t="shared" si="87"/>
        <v>0</v>
      </c>
      <c r="DR80" s="1008"/>
      <c r="DS80" s="1008">
        <f t="shared" si="88"/>
        <v>0</v>
      </c>
      <c r="DT80" s="1008">
        <f t="shared" si="88"/>
        <v>0</v>
      </c>
      <c r="DU80" s="1008"/>
      <c r="DV80" s="1008">
        <f t="shared" si="89"/>
        <v>0</v>
      </c>
      <c r="DW80" s="1008">
        <f t="shared" si="89"/>
        <v>0</v>
      </c>
      <c r="DX80" s="1008">
        <f t="shared" si="89"/>
        <v>0</v>
      </c>
      <c r="DY80" s="1008">
        <f t="shared" si="90"/>
        <v>0</v>
      </c>
      <c r="DZ80" s="1008">
        <f t="shared" si="90"/>
        <v>0</v>
      </c>
      <c r="EA80" s="1008">
        <f t="shared" si="90"/>
        <v>0</v>
      </c>
      <c r="EB80" s="1008">
        <f t="shared" si="90"/>
        <v>0</v>
      </c>
      <c r="EC80" s="1008"/>
      <c r="ED80" s="1008">
        <f t="shared" si="91"/>
        <v>0</v>
      </c>
    </row>
    <row r="81" spans="1:134" ht="33" customHeight="1" x14ac:dyDescent="0.25">
      <c r="A81" s="1565"/>
      <c r="B81" s="1019"/>
      <c r="C81" s="1116" t="s">
        <v>4418</v>
      </c>
      <c r="D81" s="1019" t="s">
        <v>4353</v>
      </c>
      <c r="E81" s="1020">
        <v>520</v>
      </c>
      <c r="F81" s="1120" t="s">
        <v>3350</v>
      </c>
      <c r="G81" s="1400"/>
      <c r="H81" s="1061">
        <f t="shared" si="71"/>
        <v>268064229</v>
      </c>
      <c r="I81" s="1061">
        <f t="shared" si="72"/>
        <v>81935771</v>
      </c>
      <c r="J81" s="1270" t="s">
        <v>4867</v>
      </c>
      <c r="K81" s="1305" t="s">
        <v>4873</v>
      </c>
      <c r="L81" s="1283" t="s">
        <v>4800</v>
      </c>
      <c r="M81" s="1115">
        <v>16</v>
      </c>
      <c r="N81" s="1115">
        <v>67</v>
      </c>
      <c r="O81" s="1115">
        <v>11</v>
      </c>
      <c r="P81" s="1115">
        <v>42</v>
      </c>
      <c r="Q81" s="1115">
        <v>67</v>
      </c>
      <c r="R81" s="1115">
        <v>28</v>
      </c>
      <c r="S81" s="1120"/>
      <c r="T81" s="1120"/>
      <c r="U81" s="1120"/>
      <c r="V81" s="1120"/>
      <c r="W81" s="1120"/>
      <c r="X81" s="1120"/>
      <c r="Y81" s="1008">
        <f t="shared" si="73"/>
        <v>350000000</v>
      </c>
      <c r="Z81" s="944"/>
      <c r="AA81" s="944"/>
      <c r="AB81" s="944"/>
      <c r="AC81" s="944"/>
      <c r="AD81" s="944"/>
      <c r="AE81" s="944"/>
      <c r="AF81" s="1008">
        <f>400000000-30000000-20000000</f>
        <v>350000000</v>
      </c>
      <c r="AG81" s="1008"/>
      <c r="AH81" s="1008"/>
      <c r="AI81" s="1008"/>
      <c r="AJ81" s="1008"/>
      <c r="AK81" s="1008"/>
      <c r="AL81" s="1008"/>
      <c r="AM81" s="1008"/>
      <c r="AN81" s="1008"/>
      <c r="AO81" s="1008"/>
      <c r="AP81" s="1008"/>
      <c r="AQ81" s="1008"/>
      <c r="AR81" s="1008"/>
      <c r="AS81" s="1008"/>
      <c r="AT81" s="203"/>
      <c r="AU81" s="1011">
        <f t="shared" si="74"/>
        <v>1</v>
      </c>
      <c r="AV81" s="1008">
        <f t="shared" si="75"/>
        <v>350000000</v>
      </c>
      <c r="AW81" s="1008"/>
      <c r="AX81" s="1008"/>
      <c r="AY81" s="1008"/>
      <c r="AZ81" s="1008"/>
      <c r="BA81" s="1008"/>
      <c r="BB81" s="1008"/>
      <c r="BC81" s="1008">
        <f>+'[10]MARZO 2015'!$O$1360-20000000</f>
        <v>350000000</v>
      </c>
      <c r="BD81" s="1008"/>
      <c r="BE81" s="1008"/>
      <c r="BF81" s="1008"/>
      <c r="BG81" s="1008"/>
      <c r="BH81" s="1008"/>
      <c r="BI81" s="1008"/>
      <c r="BJ81" s="1008"/>
      <c r="BK81" s="1008"/>
      <c r="BL81" s="1008"/>
      <c r="BM81" s="1008"/>
      <c r="BN81" s="1008"/>
      <c r="BO81" s="1008"/>
      <c r="BP81" s="1008"/>
      <c r="BQ81" s="1011">
        <f t="shared" si="25"/>
        <v>0</v>
      </c>
      <c r="BR81" s="1008">
        <f t="shared" si="76"/>
        <v>0</v>
      </c>
      <c r="BS81" s="1008">
        <f t="shared" si="77"/>
        <v>0</v>
      </c>
      <c r="BT81" s="1008">
        <f t="shared" si="78"/>
        <v>0</v>
      </c>
      <c r="BU81" s="1008"/>
      <c r="BV81" s="1008">
        <f t="shared" si="79"/>
        <v>0</v>
      </c>
      <c r="BW81" s="1008"/>
      <c r="BX81" s="1008">
        <f t="shared" si="80"/>
        <v>0</v>
      </c>
      <c r="BY81" s="1008">
        <f t="shared" si="80"/>
        <v>0</v>
      </c>
      <c r="BZ81" s="1008"/>
      <c r="CA81" s="1008">
        <f t="shared" ref="CA81:CB103" si="92">+AH81-BE81</f>
        <v>0</v>
      </c>
      <c r="CB81" s="1008">
        <f t="shared" si="81"/>
        <v>0</v>
      </c>
      <c r="CC81" s="1008">
        <f>+AJ81-BG81</f>
        <v>0</v>
      </c>
      <c r="CD81" s="1008">
        <f t="shared" si="81"/>
        <v>0</v>
      </c>
      <c r="CE81" s="1008">
        <f t="shared" si="81"/>
        <v>0</v>
      </c>
      <c r="CF81" s="1008">
        <f t="shared" si="81"/>
        <v>0</v>
      </c>
      <c r="CG81" s="1008">
        <f t="shared" si="81"/>
        <v>0</v>
      </c>
      <c r="CH81" s="1008">
        <f t="shared" si="81"/>
        <v>0</v>
      </c>
      <c r="CI81" s="1008">
        <f t="shared" si="81"/>
        <v>0</v>
      </c>
      <c r="CJ81" s="1008">
        <f>+AQ81-BN81</f>
        <v>0</v>
      </c>
      <c r="CK81" s="1008"/>
      <c r="CL81" s="1008">
        <f t="shared" si="82"/>
        <v>0</v>
      </c>
      <c r="CM81" s="1011">
        <f t="shared" si="83"/>
        <v>0.76589779714285711</v>
      </c>
      <c r="CN81" s="1008">
        <f t="shared" si="84"/>
        <v>268064229</v>
      </c>
      <c r="CO81" s="1008"/>
      <c r="CP81" s="1008"/>
      <c r="CQ81" s="1008"/>
      <c r="CR81" s="1008"/>
      <c r="CS81" s="1008"/>
      <c r="CT81" s="1008"/>
      <c r="CU81" s="1008">
        <f>+'[18]OCTUBRE 2015'!$H$3679</f>
        <v>268064229</v>
      </c>
      <c r="CV81" s="1008"/>
      <c r="CW81" s="1008"/>
      <c r="CX81" s="1008"/>
      <c r="CY81" s="1008"/>
      <c r="CZ81" s="1008"/>
      <c r="DA81" s="1008"/>
      <c r="DB81" s="1008"/>
      <c r="DC81" s="1008"/>
      <c r="DD81" s="1008"/>
      <c r="DE81" s="1008"/>
      <c r="DF81" s="1008"/>
      <c r="DG81" s="1008"/>
      <c r="DH81" s="1008"/>
      <c r="DI81" s="1011">
        <f t="shared" si="70"/>
        <v>0.23410220285714289</v>
      </c>
      <c r="DJ81" s="1008">
        <f t="shared" si="85"/>
        <v>81935771</v>
      </c>
      <c r="DK81" s="1008"/>
      <c r="DL81" s="1008"/>
      <c r="DM81" s="1008"/>
      <c r="DN81" s="1008">
        <f t="shared" si="86"/>
        <v>0</v>
      </c>
      <c r="DO81" s="1008"/>
      <c r="DP81" s="1008">
        <f t="shared" si="87"/>
        <v>0</v>
      </c>
      <c r="DQ81" s="1008">
        <f t="shared" si="87"/>
        <v>81935771</v>
      </c>
      <c r="DR81" s="1008"/>
      <c r="DS81" s="1008">
        <f t="shared" si="88"/>
        <v>0</v>
      </c>
      <c r="DT81" s="1008">
        <f t="shared" si="88"/>
        <v>0</v>
      </c>
      <c r="DU81" s="1008"/>
      <c r="DV81" s="1008">
        <f t="shared" si="89"/>
        <v>0</v>
      </c>
      <c r="DW81" s="1008">
        <f t="shared" si="89"/>
        <v>0</v>
      </c>
      <c r="DX81" s="1008">
        <f t="shared" si="89"/>
        <v>0</v>
      </c>
      <c r="DY81" s="1008">
        <f t="shared" si="90"/>
        <v>0</v>
      </c>
      <c r="DZ81" s="1008">
        <f t="shared" si="90"/>
        <v>0</v>
      </c>
      <c r="EA81" s="1008">
        <f t="shared" si="90"/>
        <v>0</v>
      </c>
      <c r="EB81" s="1008">
        <f t="shared" si="90"/>
        <v>0</v>
      </c>
      <c r="EC81" s="1008"/>
      <c r="ED81" s="1008">
        <f t="shared" si="91"/>
        <v>0</v>
      </c>
    </row>
    <row r="82" spans="1:134" ht="49.5" customHeight="1" x14ac:dyDescent="0.25">
      <c r="A82" s="1565"/>
      <c r="B82" s="1019"/>
      <c r="C82" s="1116" t="s">
        <v>4419</v>
      </c>
      <c r="D82" s="1019" t="s">
        <v>4354</v>
      </c>
      <c r="E82" s="1020">
        <v>520</v>
      </c>
      <c r="F82" s="1120" t="s">
        <v>4670</v>
      </c>
      <c r="G82" s="1400"/>
      <c r="H82" s="1061">
        <f t="shared" si="71"/>
        <v>5875427</v>
      </c>
      <c r="I82" s="1061">
        <f t="shared" si="72"/>
        <v>4524074</v>
      </c>
      <c r="J82" s="1270"/>
      <c r="K82" s="1305"/>
      <c r="L82" s="1284"/>
      <c r="M82" s="1115">
        <v>6</v>
      </c>
      <c r="N82" s="1115">
        <v>5</v>
      </c>
      <c r="O82" s="1115">
        <v>0</v>
      </c>
      <c r="P82" s="1115">
        <v>61</v>
      </c>
      <c r="Q82" s="1115">
        <v>35</v>
      </c>
      <c r="R82" s="1115">
        <v>21</v>
      </c>
      <c r="S82" s="1120"/>
      <c r="T82" s="1120"/>
      <c r="U82" s="1120"/>
      <c r="V82" s="1120"/>
      <c r="W82" s="1120"/>
      <c r="X82" s="1120"/>
      <c r="Y82" s="1008">
        <f t="shared" si="73"/>
        <v>10399501</v>
      </c>
      <c r="Z82" s="944"/>
      <c r="AA82" s="944"/>
      <c r="AB82" s="944"/>
      <c r="AC82" s="944"/>
      <c r="AD82" s="944"/>
      <c r="AE82" s="944"/>
      <c r="AF82" s="1008"/>
      <c r="AG82" s="1008"/>
      <c r="AH82" s="1008"/>
      <c r="AI82" s="1008"/>
      <c r="AJ82" s="1008"/>
      <c r="AK82" s="1008"/>
      <c r="AL82" s="1008"/>
      <c r="AM82" s="1008"/>
      <c r="AN82" s="1008"/>
      <c r="AO82" s="1008"/>
      <c r="AP82" s="1008"/>
      <c r="AQ82" s="1008"/>
      <c r="AR82" s="1008"/>
      <c r="AS82" s="1008">
        <f>4000000+2500000+3899501</f>
        <v>10399501</v>
      </c>
      <c r="AT82" s="203"/>
      <c r="AU82" s="1011">
        <f t="shared" si="74"/>
        <v>1</v>
      </c>
      <c r="AV82" s="1008">
        <f t="shared" si="75"/>
        <v>10399501</v>
      </c>
      <c r="AW82" s="1008"/>
      <c r="AX82" s="1008"/>
      <c r="AY82" s="1008"/>
      <c r="AZ82" s="1008"/>
      <c r="BA82" s="1008"/>
      <c r="BB82" s="1008"/>
      <c r="BC82" s="1008"/>
      <c r="BD82" s="1008"/>
      <c r="BE82" s="1008"/>
      <c r="BF82" s="1008"/>
      <c r="BG82" s="1008"/>
      <c r="BH82" s="1008"/>
      <c r="BI82" s="1008"/>
      <c r="BJ82" s="1008"/>
      <c r="BK82" s="1008"/>
      <c r="BL82" s="1008"/>
      <c r="BM82" s="1008"/>
      <c r="BN82" s="1008"/>
      <c r="BO82" s="1008"/>
      <c r="BP82" s="1008">
        <f>+'[17]SEPTIEMBRE 2015'!$AD$3327</f>
        <v>10399501</v>
      </c>
      <c r="BQ82" s="1011">
        <f t="shared" si="25"/>
        <v>0</v>
      </c>
      <c r="BR82" s="1008">
        <f t="shared" si="76"/>
        <v>0</v>
      </c>
      <c r="BS82" s="1008">
        <f t="shared" si="77"/>
        <v>0</v>
      </c>
      <c r="BT82" s="1008">
        <f t="shared" si="78"/>
        <v>0</v>
      </c>
      <c r="BU82" s="1008"/>
      <c r="BV82" s="1008">
        <f t="shared" si="79"/>
        <v>0</v>
      </c>
      <c r="BW82" s="1008"/>
      <c r="BX82" s="1008">
        <f t="shared" si="80"/>
        <v>0</v>
      </c>
      <c r="BY82" s="1008">
        <f t="shared" si="80"/>
        <v>0</v>
      </c>
      <c r="BZ82" s="1008"/>
      <c r="CA82" s="1008">
        <f t="shared" si="92"/>
        <v>0</v>
      </c>
      <c r="CB82" s="1008">
        <f t="shared" si="81"/>
        <v>0</v>
      </c>
      <c r="CC82" s="1008">
        <f>+AJ82-BG82</f>
        <v>0</v>
      </c>
      <c r="CD82" s="1008">
        <f t="shared" si="81"/>
        <v>0</v>
      </c>
      <c r="CE82" s="1008">
        <f t="shared" si="81"/>
        <v>0</v>
      </c>
      <c r="CF82" s="1008">
        <f t="shared" si="81"/>
        <v>0</v>
      </c>
      <c r="CG82" s="1008">
        <f t="shared" si="81"/>
        <v>0</v>
      </c>
      <c r="CH82" s="1008">
        <f t="shared" si="81"/>
        <v>0</v>
      </c>
      <c r="CI82" s="1008">
        <f t="shared" si="81"/>
        <v>0</v>
      </c>
      <c r="CJ82" s="1008"/>
      <c r="CK82" s="1008"/>
      <c r="CL82" s="1008">
        <f t="shared" si="82"/>
        <v>0</v>
      </c>
      <c r="CM82" s="1011">
        <f t="shared" si="83"/>
        <v>0.56497201163786603</v>
      </c>
      <c r="CN82" s="1008">
        <f t="shared" si="84"/>
        <v>5875427</v>
      </c>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f>+'[18]OCTUBRE 2015'!$H$3812</f>
        <v>5875427</v>
      </c>
      <c r="DI82" s="1011">
        <f t="shared" si="70"/>
        <v>0.43502798836213397</v>
      </c>
      <c r="DJ82" s="1008">
        <f t="shared" si="85"/>
        <v>4524074</v>
      </c>
      <c r="DK82" s="1008"/>
      <c r="DL82" s="1008"/>
      <c r="DM82" s="1008"/>
      <c r="DN82" s="1008">
        <f t="shared" si="86"/>
        <v>0</v>
      </c>
      <c r="DO82" s="1008"/>
      <c r="DP82" s="1008">
        <f t="shared" si="87"/>
        <v>0</v>
      </c>
      <c r="DQ82" s="1008">
        <f t="shared" si="87"/>
        <v>0</v>
      </c>
      <c r="DR82" s="1008"/>
      <c r="DS82" s="1008">
        <f t="shared" si="88"/>
        <v>0</v>
      </c>
      <c r="DT82" s="1008">
        <f t="shared" si="88"/>
        <v>0</v>
      </c>
      <c r="DU82" s="1008"/>
      <c r="DV82" s="1008">
        <f t="shared" si="89"/>
        <v>0</v>
      </c>
      <c r="DW82" s="1008">
        <f t="shared" si="89"/>
        <v>0</v>
      </c>
      <c r="DX82" s="1008">
        <f t="shared" si="89"/>
        <v>0</v>
      </c>
      <c r="DY82" s="1008">
        <f t="shared" si="90"/>
        <v>0</v>
      </c>
      <c r="DZ82" s="1008">
        <f t="shared" si="90"/>
        <v>0</v>
      </c>
      <c r="EA82" s="1008">
        <f t="shared" si="90"/>
        <v>0</v>
      </c>
      <c r="EB82" s="1008">
        <f t="shared" si="90"/>
        <v>0</v>
      </c>
      <c r="EC82" s="1008"/>
      <c r="ED82" s="1008">
        <f t="shared" si="91"/>
        <v>4524074</v>
      </c>
    </row>
    <row r="83" spans="1:134" ht="36" customHeight="1" x14ac:dyDescent="0.25">
      <c r="A83" s="1565"/>
      <c r="B83" s="1027"/>
      <c r="C83" s="1116" t="s">
        <v>4420</v>
      </c>
      <c r="D83" s="1019" t="s">
        <v>4616</v>
      </c>
      <c r="E83" s="1134">
        <v>520</v>
      </c>
      <c r="F83" s="1120" t="s">
        <v>3350</v>
      </c>
      <c r="G83" s="1400"/>
      <c r="H83" s="1061">
        <f t="shared" si="71"/>
        <v>47812859</v>
      </c>
      <c r="I83" s="1061">
        <f t="shared" si="72"/>
        <v>52187141</v>
      </c>
      <c r="J83" s="1270" t="s">
        <v>4848</v>
      </c>
      <c r="K83" s="1305" t="s">
        <v>4874</v>
      </c>
      <c r="L83" s="1283" t="s">
        <v>4880</v>
      </c>
      <c r="M83" s="1115">
        <v>7</v>
      </c>
      <c r="N83" s="1115">
        <v>31</v>
      </c>
      <c r="O83" s="1115">
        <v>2</v>
      </c>
      <c r="P83" s="1115">
        <v>22</v>
      </c>
      <c r="Q83" s="1115">
        <v>31</v>
      </c>
      <c r="R83" s="1115">
        <v>7</v>
      </c>
      <c r="S83" s="1120"/>
      <c r="T83" s="1120"/>
      <c r="U83" s="1120"/>
      <c r="V83" s="1120"/>
      <c r="W83" s="1120"/>
      <c r="X83" s="1120"/>
      <c r="Y83" s="1008">
        <f t="shared" si="73"/>
        <v>100000000</v>
      </c>
      <c r="Z83" s="991"/>
      <c r="AA83" s="1017">
        <f>100000000-100000000</f>
        <v>0</v>
      </c>
      <c r="AB83" s="1017"/>
      <c r="AC83" s="991"/>
      <c r="AD83" s="991"/>
      <c r="AE83" s="991"/>
      <c r="AF83" s="1008">
        <v>100000000</v>
      </c>
      <c r="AG83" s="1008"/>
      <c r="AH83" s="1008"/>
      <c r="AI83" s="1008"/>
      <c r="AJ83" s="1008"/>
      <c r="AK83" s="1008"/>
      <c r="AL83" s="1008"/>
      <c r="AM83" s="1008"/>
      <c r="AN83" s="1008"/>
      <c r="AO83" s="1008"/>
      <c r="AP83" s="1008"/>
      <c r="AQ83" s="1008"/>
      <c r="AR83" s="1008"/>
      <c r="AS83" s="1008"/>
      <c r="AT83" s="203"/>
      <c r="AU83" s="1011">
        <f t="shared" si="74"/>
        <v>0.7</v>
      </c>
      <c r="AV83" s="1008">
        <f t="shared" si="75"/>
        <v>70000000</v>
      </c>
      <c r="AW83" s="1008"/>
      <c r="AX83" s="1008"/>
      <c r="AY83" s="1008"/>
      <c r="AZ83" s="1008"/>
      <c r="BA83" s="1008"/>
      <c r="BB83" s="1008"/>
      <c r="BC83" s="1008">
        <f>+'[18]OCTUBRE 2015'!$P$3837</f>
        <v>70000000</v>
      </c>
      <c r="BD83" s="1008"/>
      <c r="BE83" s="1008"/>
      <c r="BF83" s="1008"/>
      <c r="BG83" s="1008"/>
      <c r="BH83" s="1008"/>
      <c r="BI83" s="1008"/>
      <c r="BJ83" s="1008"/>
      <c r="BK83" s="1008"/>
      <c r="BL83" s="1008"/>
      <c r="BM83" s="1008"/>
      <c r="BN83" s="1008"/>
      <c r="BO83" s="1008"/>
      <c r="BP83" s="1008"/>
      <c r="BQ83" s="1011">
        <f t="shared" si="25"/>
        <v>0.30000000000000004</v>
      </c>
      <c r="BR83" s="1008">
        <f t="shared" si="76"/>
        <v>30000000</v>
      </c>
      <c r="BS83" s="1008">
        <f t="shared" si="77"/>
        <v>0</v>
      </c>
      <c r="BT83" s="1008">
        <f t="shared" si="78"/>
        <v>0</v>
      </c>
      <c r="BU83" s="1008"/>
      <c r="BV83" s="1008">
        <f t="shared" si="79"/>
        <v>0</v>
      </c>
      <c r="BW83" s="1008"/>
      <c r="BX83" s="1008">
        <f t="shared" si="80"/>
        <v>0</v>
      </c>
      <c r="BY83" s="1008">
        <f t="shared" si="80"/>
        <v>30000000</v>
      </c>
      <c r="BZ83" s="1008"/>
      <c r="CA83" s="1008">
        <f t="shared" si="92"/>
        <v>0</v>
      </c>
      <c r="CB83" s="1008">
        <f t="shared" si="81"/>
        <v>0</v>
      </c>
      <c r="CC83" s="1008">
        <f>+AJ83-BG83</f>
        <v>0</v>
      </c>
      <c r="CD83" s="1008">
        <f t="shared" si="81"/>
        <v>0</v>
      </c>
      <c r="CE83" s="1008">
        <f t="shared" si="81"/>
        <v>0</v>
      </c>
      <c r="CF83" s="1008">
        <f t="shared" si="81"/>
        <v>0</v>
      </c>
      <c r="CG83" s="1008">
        <f t="shared" si="81"/>
        <v>0</v>
      </c>
      <c r="CH83" s="1008">
        <f t="shared" si="81"/>
        <v>0</v>
      </c>
      <c r="CI83" s="1008">
        <f t="shared" si="81"/>
        <v>0</v>
      </c>
      <c r="CJ83" s="1008"/>
      <c r="CK83" s="1008"/>
      <c r="CL83" s="1008">
        <f t="shared" si="82"/>
        <v>0</v>
      </c>
      <c r="CM83" s="1011">
        <f t="shared" si="83"/>
        <v>0.47812859000000002</v>
      </c>
      <c r="CN83" s="1008">
        <f t="shared" si="84"/>
        <v>47812859</v>
      </c>
      <c r="CO83" s="1008"/>
      <c r="CP83" s="1008"/>
      <c r="CQ83" s="1008"/>
      <c r="CR83" s="1008"/>
      <c r="CS83" s="1008"/>
      <c r="CT83" s="1008"/>
      <c r="CU83" s="1008">
        <f>+'[18]OCTUBRE 2015'!$H$3835</f>
        <v>47812859</v>
      </c>
      <c r="CV83" s="1008"/>
      <c r="CW83" s="1008"/>
      <c r="CX83" s="1008"/>
      <c r="CY83" s="1008"/>
      <c r="CZ83" s="1008"/>
      <c r="DA83" s="1008"/>
      <c r="DB83" s="1008"/>
      <c r="DC83" s="1008"/>
      <c r="DD83" s="1008"/>
      <c r="DE83" s="1008"/>
      <c r="DF83" s="1008"/>
      <c r="DG83" s="1008"/>
      <c r="DH83" s="1008"/>
      <c r="DI83" s="1011">
        <f t="shared" si="70"/>
        <v>0.52187140999999992</v>
      </c>
      <c r="DJ83" s="1008">
        <f t="shared" si="85"/>
        <v>52187141</v>
      </c>
      <c r="DK83" s="1008"/>
      <c r="DL83" s="1008">
        <f>AA83-CP83</f>
        <v>0</v>
      </c>
      <c r="DM83" s="1008">
        <f>AB83-CQ83</f>
        <v>0</v>
      </c>
      <c r="DN83" s="1008">
        <f t="shared" si="86"/>
        <v>0</v>
      </c>
      <c r="DO83" s="1008"/>
      <c r="DP83" s="1008">
        <f t="shared" si="87"/>
        <v>0</v>
      </c>
      <c r="DQ83" s="1008">
        <f t="shared" si="87"/>
        <v>52187141</v>
      </c>
      <c r="DR83" s="1008"/>
      <c r="DS83" s="1008">
        <f t="shared" si="88"/>
        <v>0</v>
      </c>
      <c r="DT83" s="1008">
        <f t="shared" si="88"/>
        <v>0</v>
      </c>
      <c r="DU83" s="1008"/>
      <c r="DV83" s="1008">
        <f t="shared" si="89"/>
        <v>0</v>
      </c>
      <c r="DW83" s="1008">
        <f t="shared" si="89"/>
        <v>0</v>
      </c>
      <c r="DX83" s="1008">
        <f t="shared" si="89"/>
        <v>0</v>
      </c>
      <c r="DY83" s="1008">
        <f t="shared" si="90"/>
        <v>0</v>
      </c>
      <c r="DZ83" s="1008">
        <f t="shared" si="90"/>
        <v>0</v>
      </c>
      <c r="EA83" s="1008">
        <f t="shared" si="90"/>
        <v>0</v>
      </c>
      <c r="EB83" s="1008">
        <f t="shared" si="90"/>
        <v>0</v>
      </c>
      <c r="EC83" s="1008"/>
      <c r="ED83" s="1008">
        <f t="shared" si="91"/>
        <v>0</v>
      </c>
    </row>
    <row r="84" spans="1:134" ht="33" customHeight="1" x14ac:dyDescent="0.25">
      <c r="A84" s="1565"/>
      <c r="B84" s="1019"/>
      <c r="C84" s="1116" t="s">
        <v>4421</v>
      </c>
      <c r="D84" s="1019" t="s">
        <v>4617</v>
      </c>
      <c r="E84" s="1020">
        <v>520</v>
      </c>
      <c r="F84" s="1120" t="s">
        <v>3350</v>
      </c>
      <c r="G84" s="1400"/>
      <c r="H84" s="1061">
        <f t="shared" si="71"/>
        <v>95938962</v>
      </c>
      <c r="I84" s="1061">
        <f t="shared" si="72"/>
        <v>34061038</v>
      </c>
      <c r="J84" s="1270"/>
      <c r="K84" s="1305"/>
      <c r="L84" s="1284"/>
      <c r="M84" s="1115">
        <v>7</v>
      </c>
      <c r="N84" s="1115">
        <v>11</v>
      </c>
      <c r="O84" s="1115">
        <v>1</v>
      </c>
      <c r="P84" s="1115">
        <v>38</v>
      </c>
      <c r="Q84" s="1115">
        <v>116</v>
      </c>
      <c r="R84" s="1115">
        <v>44</v>
      </c>
      <c r="S84" s="1120"/>
      <c r="T84" s="1120"/>
      <c r="U84" s="1120"/>
      <c r="V84" s="1120"/>
      <c r="W84" s="1120"/>
      <c r="X84" s="1120"/>
      <c r="Y84" s="1008">
        <f t="shared" si="73"/>
        <v>130000000</v>
      </c>
      <c r="Z84" s="944"/>
      <c r="AA84" s="1017">
        <f>200000000-200000000</f>
        <v>0</v>
      </c>
      <c r="AB84" s="1017"/>
      <c r="AC84" s="944"/>
      <c r="AD84" s="944"/>
      <c r="AE84" s="944"/>
      <c r="AF84" s="1008">
        <f>200000000-60000000-10000000</f>
        <v>130000000</v>
      </c>
      <c r="AG84" s="1008"/>
      <c r="AH84" s="1008"/>
      <c r="AI84" s="1008"/>
      <c r="AJ84" s="1008"/>
      <c r="AK84" s="1008"/>
      <c r="AL84" s="1008"/>
      <c r="AM84" s="1008"/>
      <c r="AN84" s="1008"/>
      <c r="AO84" s="1008"/>
      <c r="AP84" s="1008"/>
      <c r="AQ84" s="1008"/>
      <c r="AR84" s="1008"/>
      <c r="AS84" s="1008"/>
      <c r="AT84" s="203"/>
      <c r="AU84" s="1011">
        <f t="shared" si="74"/>
        <v>0.84615384615384615</v>
      </c>
      <c r="AV84" s="1008">
        <f t="shared" si="75"/>
        <v>110000000</v>
      </c>
      <c r="AW84" s="1008"/>
      <c r="AX84" s="1008"/>
      <c r="AY84" s="1008"/>
      <c r="AZ84" s="1008"/>
      <c r="BA84" s="1008"/>
      <c r="BB84" s="1008"/>
      <c r="BC84" s="1008">
        <f>+'[18]OCTUBRE 2015'!$P$3902</f>
        <v>110000000</v>
      </c>
      <c r="BD84" s="1008"/>
      <c r="BE84" s="1008"/>
      <c r="BF84" s="1008"/>
      <c r="BG84" s="1008"/>
      <c r="BH84" s="1008"/>
      <c r="BI84" s="1008"/>
      <c r="BJ84" s="1008"/>
      <c r="BK84" s="1008"/>
      <c r="BL84" s="1008"/>
      <c r="BM84" s="1008"/>
      <c r="BN84" s="1008"/>
      <c r="BO84" s="1008"/>
      <c r="BP84" s="1008"/>
      <c r="BQ84" s="1011">
        <f t="shared" si="25"/>
        <v>0.15384615384615385</v>
      </c>
      <c r="BR84" s="1008">
        <f t="shared" si="76"/>
        <v>20000000</v>
      </c>
      <c r="BS84" s="1008">
        <f t="shared" si="77"/>
        <v>0</v>
      </c>
      <c r="BT84" s="1008">
        <f t="shared" si="78"/>
        <v>0</v>
      </c>
      <c r="BU84" s="1008"/>
      <c r="BV84" s="1008">
        <f t="shared" si="79"/>
        <v>0</v>
      </c>
      <c r="BW84" s="1008"/>
      <c r="BX84" s="1008">
        <f t="shared" si="80"/>
        <v>0</v>
      </c>
      <c r="BY84" s="1008">
        <f t="shared" si="80"/>
        <v>20000000</v>
      </c>
      <c r="BZ84" s="1008"/>
      <c r="CA84" s="1008">
        <f t="shared" si="92"/>
        <v>0</v>
      </c>
      <c r="CB84" s="1008">
        <f t="shared" si="92"/>
        <v>0</v>
      </c>
      <c r="CC84" s="1008">
        <f>+AJ84-BG84</f>
        <v>0</v>
      </c>
      <c r="CD84" s="1008">
        <f t="shared" ref="CD84:CI103" si="93">+AK84-BH84</f>
        <v>0</v>
      </c>
      <c r="CE84" s="1008">
        <f t="shared" si="93"/>
        <v>0</v>
      </c>
      <c r="CF84" s="1008">
        <f t="shared" si="93"/>
        <v>0</v>
      </c>
      <c r="CG84" s="1008">
        <f t="shared" si="93"/>
        <v>0</v>
      </c>
      <c r="CH84" s="1008">
        <f t="shared" si="93"/>
        <v>0</v>
      </c>
      <c r="CI84" s="1008">
        <f t="shared" si="93"/>
        <v>0</v>
      </c>
      <c r="CJ84" s="1008"/>
      <c r="CK84" s="1008"/>
      <c r="CL84" s="1008">
        <f t="shared" si="82"/>
        <v>0</v>
      </c>
      <c r="CM84" s="1011">
        <f t="shared" si="83"/>
        <v>0.73799201538461534</v>
      </c>
      <c r="CN84" s="1008">
        <f t="shared" si="84"/>
        <v>95938962</v>
      </c>
      <c r="CO84" s="1008"/>
      <c r="CP84" s="1008"/>
      <c r="CQ84" s="1008"/>
      <c r="CR84" s="1008"/>
      <c r="CS84" s="1008"/>
      <c r="CT84" s="1008"/>
      <c r="CU84" s="1008">
        <f>+'[18]OCTUBRE 2015'!$H$3900</f>
        <v>95938962</v>
      </c>
      <c r="CV84" s="1008"/>
      <c r="CW84" s="1008"/>
      <c r="CX84" s="1008"/>
      <c r="CY84" s="1008"/>
      <c r="CZ84" s="1008"/>
      <c r="DA84" s="1008"/>
      <c r="DB84" s="1008"/>
      <c r="DC84" s="1008"/>
      <c r="DD84" s="1008"/>
      <c r="DE84" s="1008"/>
      <c r="DF84" s="1008"/>
      <c r="DG84" s="1008"/>
      <c r="DH84" s="1008"/>
      <c r="DI84" s="1011">
        <f t="shared" si="70"/>
        <v>0.26200798461538466</v>
      </c>
      <c r="DJ84" s="1008">
        <f t="shared" si="85"/>
        <v>34061038</v>
      </c>
      <c r="DK84" s="1008"/>
      <c r="DL84" s="1008">
        <f>AA84-CP84</f>
        <v>0</v>
      </c>
      <c r="DM84" s="1008">
        <f>AB84-CQ84</f>
        <v>0</v>
      </c>
      <c r="DN84" s="1008">
        <f t="shared" si="86"/>
        <v>0</v>
      </c>
      <c r="DO84" s="1008"/>
      <c r="DP84" s="1008">
        <f t="shared" si="87"/>
        <v>0</v>
      </c>
      <c r="DQ84" s="1008">
        <f t="shared" si="87"/>
        <v>34061038</v>
      </c>
      <c r="DR84" s="1008"/>
      <c r="DS84" s="1008">
        <f t="shared" si="88"/>
        <v>0</v>
      </c>
      <c r="DT84" s="1008">
        <f t="shared" si="88"/>
        <v>0</v>
      </c>
      <c r="DU84" s="1008"/>
      <c r="DV84" s="1008">
        <f t="shared" si="89"/>
        <v>0</v>
      </c>
      <c r="DW84" s="1008">
        <f t="shared" si="89"/>
        <v>0</v>
      </c>
      <c r="DX84" s="1008">
        <f t="shared" si="89"/>
        <v>0</v>
      </c>
      <c r="DY84" s="1008">
        <f t="shared" si="90"/>
        <v>0</v>
      </c>
      <c r="DZ84" s="1008">
        <f t="shared" si="90"/>
        <v>0</v>
      </c>
      <c r="EA84" s="1008">
        <f t="shared" si="90"/>
        <v>0</v>
      </c>
      <c r="EB84" s="1008">
        <f t="shared" si="90"/>
        <v>0</v>
      </c>
      <c r="EC84" s="1008"/>
      <c r="ED84" s="1008">
        <f t="shared" si="91"/>
        <v>0</v>
      </c>
    </row>
    <row r="85" spans="1:134" ht="57.75" customHeight="1" x14ac:dyDescent="0.25">
      <c r="A85" s="1565"/>
      <c r="B85" s="1027"/>
      <c r="C85" s="1116" t="s">
        <v>4422</v>
      </c>
      <c r="D85" s="1019" t="s">
        <v>4356</v>
      </c>
      <c r="E85" s="1134">
        <v>520</v>
      </c>
      <c r="F85" s="1120" t="s">
        <v>4674</v>
      </c>
      <c r="G85" s="1400"/>
      <c r="H85" s="1061">
        <f t="shared" si="71"/>
        <v>425865362</v>
      </c>
      <c r="I85" s="1061">
        <f t="shared" si="72"/>
        <v>21128471</v>
      </c>
      <c r="J85" s="1399" t="s">
        <v>4868</v>
      </c>
      <c r="K85" s="1283" t="s">
        <v>4875</v>
      </c>
      <c r="L85" s="1283" t="s">
        <v>4881</v>
      </c>
      <c r="M85" s="1115">
        <v>78</v>
      </c>
      <c r="N85" s="1115">
        <v>45</v>
      </c>
      <c r="O85" s="1115">
        <v>35</v>
      </c>
      <c r="P85" s="1115">
        <v>50</v>
      </c>
      <c r="Q85" s="1115">
        <v>60</v>
      </c>
      <c r="R85" s="1115">
        <v>30</v>
      </c>
      <c r="S85" s="1120"/>
      <c r="T85" s="1120"/>
      <c r="U85" s="1120"/>
      <c r="V85" s="1120"/>
      <c r="W85" s="1120"/>
      <c r="X85" s="1120"/>
      <c r="Y85" s="1008">
        <f t="shared" si="73"/>
        <v>446993833</v>
      </c>
      <c r="Z85" s="991"/>
      <c r="AA85" s="991"/>
      <c r="AB85" s="991"/>
      <c r="AC85" s="991"/>
      <c r="AD85" s="991"/>
      <c r="AE85" s="991"/>
      <c r="AF85" s="1008"/>
      <c r="AG85" s="1008"/>
      <c r="AH85" s="1008"/>
      <c r="AI85" s="1008"/>
      <c r="AJ85" s="1008"/>
      <c r="AK85" s="1008"/>
      <c r="AL85" s="1008"/>
      <c r="AM85" s="1008"/>
      <c r="AN85" s="1008"/>
      <c r="AO85" s="1008"/>
      <c r="AP85" s="1008"/>
      <c r="AQ85" s="1008"/>
      <c r="AR85" s="1008"/>
      <c r="AS85" s="1008">
        <f>111000000+41000000+32000000+9000000+19000000+17271328+15000000+191272505+6000000+5450000</f>
        <v>446993833</v>
      </c>
      <c r="AT85" s="203"/>
      <c r="AU85" s="1011">
        <f t="shared" si="74"/>
        <v>1</v>
      </c>
      <c r="AV85" s="1008">
        <f t="shared" si="75"/>
        <v>446993833</v>
      </c>
      <c r="AW85" s="1008"/>
      <c r="AX85" s="1008"/>
      <c r="AY85" s="1008"/>
      <c r="AZ85" s="1008"/>
      <c r="BA85" s="1008"/>
      <c r="BB85" s="1008"/>
      <c r="BC85" s="1008"/>
      <c r="BD85" s="1008"/>
      <c r="BE85" s="1008"/>
      <c r="BF85" s="1008"/>
      <c r="BG85" s="1008"/>
      <c r="BH85" s="1008"/>
      <c r="BI85" s="1008"/>
      <c r="BJ85" s="1008"/>
      <c r="BK85" s="1008"/>
      <c r="BL85" s="1008"/>
      <c r="BM85" s="1008"/>
      <c r="BN85" s="1008"/>
      <c r="BO85" s="1008"/>
      <c r="BP85" s="1008">
        <f>+'[17]SEPTIEMBRE 2015'!$AD$3491</f>
        <v>446993833</v>
      </c>
      <c r="BQ85" s="1011">
        <f t="shared" si="25"/>
        <v>0</v>
      </c>
      <c r="BR85" s="1008">
        <f t="shared" si="76"/>
        <v>0</v>
      </c>
      <c r="BS85" s="1008">
        <f t="shared" si="77"/>
        <v>0</v>
      </c>
      <c r="BT85" s="1008">
        <f t="shared" si="78"/>
        <v>0</v>
      </c>
      <c r="BU85" s="1008"/>
      <c r="BV85" s="1008">
        <f t="shared" si="79"/>
        <v>0</v>
      </c>
      <c r="BW85" s="1008"/>
      <c r="BX85" s="1008">
        <f t="shared" si="80"/>
        <v>0</v>
      </c>
      <c r="BY85" s="1008">
        <f t="shared" si="80"/>
        <v>0</v>
      </c>
      <c r="BZ85" s="1008"/>
      <c r="CA85" s="1008">
        <f t="shared" si="92"/>
        <v>0</v>
      </c>
      <c r="CB85" s="1008">
        <f t="shared" si="92"/>
        <v>0</v>
      </c>
      <c r="CC85" s="1008"/>
      <c r="CD85" s="1008">
        <f t="shared" si="93"/>
        <v>0</v>
      </c>
      <c r="CE85" s="1008">
        <f t="shared" si="93"/>
        <v>0</v>
      </c>
      <c r="CF85" s="1008">
        <f t="shared" si="93"/>
        <v>0</v>
      </c>
      <c r="CG85" s="1008">
        <f t="shared" si="93"/>
        <v>0</v>
      </c>
      <c r="CH85" s="1008">
        <f t="shared" si="93"/>
        <v>0</v>
      </c>
      <c r="CI85" s="1008">
        <f t="shared" si="93"/>
        <v>0</v>
      </c>
      <c r="CJ85" s="1008"/>
      <c r="CK85" s="1008"/>
      <c r="CL85" s="1008">
        <f t="shared" si="82"/>
        <v>0</v>
      </c>
      <c r="CM85" s="1011">
        <f t="shared" si="83"/>
        <v>0.95273207494117707</v>
      </c>
      <c r="CN85" s="1008">
        <f t="shared" si="84"/>
        <v>425865362</v>
      </c>
      <c r="CO85" s="1008"/>
      <c r="CP85" s="1008"/>
      <c r="CQ85" s="1008"/>
      <c r="CR85" s="1008"/>
      <c r="CS85" s="1008"/>
      <c r="CT85" s="1008"/>
      <c r="CU85" s="1008"/>
      <c r="CV85" s="1008"/>
      <c r="CW85" s="1008"/>
      <c r="CX85" s="1008"/>
      <c r="CY85" s="1008"/>
      <c r="CZ85" s="1008"/>
      <c r="DA85" s="1008"/>
      <c r="DB85" s="1008"/>
      <c r="DC85" s="1008"/>
      <c r="DD85" s="1008"/>
      <c r="DE85" s="1008"/>
      <c r="DF85" s="1008"/>
      <c r="DG85" s="1008"/>
      <c r="DH85" s="1008">
        <f>+'[18]OCTUBRE 2015'!$H$3985</f>
        <v>425865362</v>
      </c>
      <c r="DI85" s="1011">
        <f t="shared" si="70"/>
        <v>4.7267925058822935E-2</v>
      </c>
      <c r="DJ85" s="1008">
        <f t="shared" si="85"/>
        <v>21128471</v>
      </c>
      <c r="DK85" s="1008"/>
      <c r="DL85" s="1008"/>
      <c r="DM85" s="1008"/>
      <c r="DN85" s="1008">
        <f t="shared" si="86"/>
        <v>0</v>
      </c>
      <c r="DO85" s="1008"/>
      <c r="DP85" s="1008">
        <f t="shared" si="87"/>
        <v>0</v>
      </c>
      <c r="DQ85" s="1008">
        <f t="shared" si="87"/>
        <v>0</v>
      </c>
      <c r="DR85" s="1008"/>
      <c r="DS85" s="1008">
        <f t="shared" si="88"/>
        <v>0</v>
      </c>
      <c r="DT85" s="1008">
        <f t="shared" si="88"/>
        <v>0</v>
      </c>
      <c r="DU85" s="1008"/>
      <c r="DV85" s="1008">
        <f t="shared" si="89"/>
        <v>0</v>
      </c>
      <c r="DW85" s="1008">
        <f t="shared" si="89"/>
        <v>0</v>
      </c>
      <c r="DX85" s="1008">
        <f t="shared" si="89"/>
        <v>0</v>
      </c>
      <c r="DY85" s="1008">
        <f t="shared" si="90"/>
        <v>0</v>
      </c>
      <c r="DZ85" s="1008">
        <f t="shared" si="90"/>
        <v>0</v>
      </c>
      <c r="EA85" s="1008">
        <f t="shared" si="90"/>
        <v>0</v>
      </c>
      <c r="EB85" s="1008">
        <f t="shared" si="90"/>
        <v>0</v>
      </c>
      <c r="EC85" s="1008"/>
      <c r="ED85" s="1008">
        <f t="shared" si="91"/>
        <v>21128471</v>
      </c>
    </row>
    <row r="86" spans="1:134" ht="46.5" customHeight="1" x14ac:dyDescent="0.25">
      <c r="A86" s="1565"/>
      <c r="B86" s="1019"/>
      <c r="C86" s="1116" t="s">
        <v>4423</v>
      </c>
      <c r="D86" s="1019" t="s">
        <v>4357</v>
      </c>
      <c r="E86" s="1020">
        <v>520</v>
      </c>
      <c r="F86" s="1120" t="s">
        <v>4737</v>
      </c>
      <c r="G86" s="1400"/>
      <c r="H86" s="1061">
        <f t="shared" si="71"/>
        <v>5904582</v>
      </c>
      <c r="I86" s="1061">
        <f t="shared" si="72"/>
        <v>18651115</v>
      </c>
      <c r="J86" s="1401"/>
      <c r="K86" s="1284"/>
      <c r="L86" s="1284"/>
      <c r="M86" s="1115">
        <v>0</v>
      </c>
      <c r="N86" s="1115">
        <v>0</v>
      </c>
      <c r="O86" s="1115">
        <v>0</v>
      </c>
      <c r="P86" s="1115">
        <v>6</v>
      </c>
      <c r="Q86" s="1115">
        <v>7</v>
      </c>
      <c r="R86" s="1115">
        <v>0</v>
      </c>
      <c r="S86" s="1120"/>
      <c r="T86" s="1120"/>
      <c r="U86" s="1120"/>
      <c r="V86" s="1120"/>
      <c r="W86" s="1120"/>
      <c r="X86" s="1120"/>
      <c r="Y86" s="1008">
        <f t="shared" si="73"/>
        <v>24555697</v>
      </c>
      <c r="Z86" s="944"/>
      <c r="AA86" s="944"/>
      <c r="AB86" s="944"/>
      <c r="AC86" s="944"/>
      <c r="AD86" s="944"/>
      <c r="AE86" s="944"/>
      <c r="AF86" s="1008"/>
      <c r="AG86" s="1008"/>
      <c r="AH86" s="1008"/>
      <c r="AI86" s="1008"/>
      <c r="AJ86" s="1008"/>
      <c r="AK86" s="1008"/>
      <c r="AL86" s="1008"/>
      <c r="AM86" s="1008"/>
      <c r="AN86" s="1008"/>
      <c r="AO86" s="1008"/>
      <c r="AP86" s="1008"/>
      <c r="AQ86" s="1008"/>
      <c r="AR86" s="1008"/>
      <c r="AS86" s="1008">
        <f>3000000+5000000+15055697+1500000</f>
        <v>24555697</v>
      </c>
      <c r="AT86" s="203"/>
      <c r="AU86" s="1011">
        <f t="shared" si="74"/>
        <v>0.37522510560380345</v>
      </c>
      <c r="AV86" s="1008">
        <f t="shared" si="75"/>
        <v>9213914</v>
      </c>
      <c r="AW86" s="1008"/>
      <c r="AX86" s="1008"/>
      <c r="AY86" s="1008"/>
      <c r="AZ86" s="1008"/>
      <c r="BA86" s="1008"/>
      <c r="BB86" s="1008"/>
      <c r="BC86" s="1008"/>
      <c r="BD86" s="1008"/>
      <c r="BE86" s="1008"/>
      <c r="BF86" s="1008"/>
      <c r="BG86" s="1008"/>
      <c r="BH86" s="1008"/>
      <c r="BI86" s="1008"/>
      <c r="BJ86" s="1008"/>
      <c r="BK86" s="1008"/>
      <c r="BL86" s="1008"/>
      <c r="BM86" s="1008"/>
      <c r="BN86" s="1008"/>
      <c r="BO86" s="1008"/>
      <c r="BP86" s="1008">
        <f>+'[18]OCTUBRE 2015'!$AD$4072</f>
        <v>9213914</v>
      </c>
      <c r="BQ86" s="1011">
        <f t="shared" si="25"/>
        <v>0.6247748943961966</v>
      </c>
      <c r="BR86" s="1008">
        <f t="shared" si="76"/>
        <v>15341783</v>
      </c>
      <c r="BS86" s="1008">
        <f t="shared" si="77"/>
        <v>0</v>
      </c>
      <c r="BT86" s="1008">
        <f t="shared" si="78"/>
        <v>0</v>
      </c>
      <c r="BU86" s="1008"/>
      <c r="BV86" s="1008">
        <f t="shared" si="79"/>
        <v>0</v>
      </c>
      <c r="BW86" s="1008"/>
      <c r="BX86" s="1008">
        <f t="shared" si="80"/>
        <v>0</v>
      </c>
      <c r="BY86" s="1008">
        <f t="shared" si="80"/>
        <v>0</v>
      </c>
      <c r="BZ86" s="1008"/>
      <c r="CA86" s="1008">
        <f t="shared" si="92"/>
        <v>0</v>
      </c>
      <c r="CB86" s="1008">
        <f t="shared" si="92"/>
        <v>0</v>
      </c>
      <c r="CC86" s="1008"/>
      <c r="CD86" s="1008">
        <f t="shared" si="93"/>
        <v>0</v>
      </c>
      <c r="CE86" s="1008">
        <f t="shared" si="93"/>
        <v>0</v>
      </c>
      <c r="CF86" s="1008">
        <f t="shared" si="93"/>
        <v>0</v>
      </c>
      <c r="CG86" s="1008">
        <f t="shared" si="93"/>
        <v>0</v>
      </c>
      <c r="CH86" s="1008">
        <f t="shared" si="93"/>
        <v>0</v>
      </c>
      <c r="CI86" s="1008">
        <f t="shared" si="93"/>
        <v>0</v>
      </c>
      <c r="CJ86" s="1008"/>
      <c r="CK86" s="1008"/>
      <c r="CL86" s="1008">
        <f t="shared" si="82"/>
        <v>15341783</v>
      </c>
      <c r="CM86" s="1011">
        <f t="shared" si="83"/>
        <v>0.24045670542359274</v>
      </c>
      <c r="CN86" s="1008">
        <f t="shared" si="84"/>
        <v>5904582</v>
      </c>
      <c r="CO86" s="1008"/>
      <c r="CP86" s="1008"/>
      <c r="CQ86" s="1008"/>
      <c r="CR86" s="1008"/>
      <c r="CS86" s="1008"/>
      <c r="CT86" s="1008"/>
      <c r="CU86" s="1008"/>
      <c r="CV86" s="1008"/>
      <c r="CW86" s="1008"/>
      <c r="CX86" s="1008"/>
      <c r="CY86" s="1008"/>
      <c r="CZ86" s="1008"/>
      <c r="DA86" s="1008"/>
      <c r="DB86" s="1008"/>
      <c r="DC86" s="1008"/>
      <c r="DD86" s="1008"/>
      <c r="DE86" s="1008"/>
      <c r="DF86" s="1008"/>
      <c r="DG86" s="1008"/>
      <c r="DH86" s="1008">
        <f>+'[18]OCTUBRE 2015'!$H$4070</f>
        <v>5904582</v>
      </c>
      <c r="DI86" s="1011">
        <f t="shared" si="70"/>
        <v>0.75954329457640724</v>
      </c>
      <c r="DJ86" s="1008">
        <f t="shared" si="85"/>
        <v>18651115</v>
      </c>
      <c r="DK86" s="1008"/>
      <c r="DL86" s="1008"/>
      <c r="DM86" s="1008"/>
      <c r="DN86" s="1008">
        <f t="shared" si="86"/>
        <v>0</v>
      </c>
      <c r="DO86" s="1008"/>
      <c r="DP86" s="1008">
        <f t="shared" si="87"/>
        <v>0</v>
      </c>
      <c r="DQ86" s="1008">
        <f t="shared" si="87"/>
        <v>0</v>
      </c>
      <c r="DR86" s="1008"/>
      <c r="DS86" s="1008">
        <f t="shared" si="88"/>
        <v>0</v>
      </c>
      <c r="DT86" s="1008">
        <f t="shared" si="88"/>
        <v>0</v>
      </c>
      <c r="DU86" s="1008"/>
      <c r="DV86" s="1008">
        <f t="shared" si="89"/>
        <v>0</v>
      </c>
      <c r="DW86" s="1008">
        <f t="shared" si="89"/>
        <v>0</v>
      </c>
      <c r="DX86" s="1008">
        <f t="shared" si="89"/>
        <v>0</v>
      </c>
      <c r="DY86" s="1008">
        <f t="shared" si="90"/>
        <v>0</v>
      </c>
      <c r="DZ86" s="1008">
        <f t="shared" si="90"/>
        <v>0</v>
      </c>
      <c r="EA86" s="1008">
        <f t="shared" si="90"/>
        <v>0</v>
      </c>
      <c r="EB86" s="1008">
        <f t="shared" si="90"/>
        <v>0</v>
      </c>
      <c r="EC86" s="1008"/>
      <c r="ED86" s="1008">
        <f t="shared" si="91"/>
        <v>18651115</v>
      </c>
    </row>
    <row r="87" spans="1:134" ht="36" customHeight="1" x14ac:dyDescent="0.25">
      <c r="A87" s="1565"/>
      <c r="B87" s="1019"/>
      <c r="C87" s="1116" t="s">
        <v>4424</v>
      </c>
      <c r="D87" s="1019" t="s">
        <v>4358</v>
      </c>
      <c r="E87" s="1020">
        <v>520</v>
      </c>
      <c r="F87" s="1120" t="s">
        <v>3350</v>
      </c>
      <c r="G87" s="1400"/>
      <c r="H87" s="1061">
        <f t="shared" si="71"/>
        <v>151633574</v>
      </c>
      <c r="I87" s="1061">
        <f t="shared" si="72"/>
        <v>459230861</v>
      </c>
      <c r="J87" s="1399" t="s">
        <v>4869</v>
      </c>
      <c r="K87" s="1283" t="s">
        <v>4876</v>
      </c>
      <c r="L87" s="1283" t="s">
        <v>4882</v>
      </c>
      <c r="M87" s="1115">
        <v>0</v>
      </c>
      <c r="N87" s="1115">
        <v>8</v>
      </c>
      <c r="O87" s="1115">
        <v>0</v>
      </c>
      <c r="P87" s="1115">
        <v>0</v>
      </c>
      <c r="Q87" s="1115">
        <v>0</v>
      </c>
      <c r="R87" s="1115">
        <v>0</v>
      </c>
      <c r="S87" s="1120"/>
      <c r="T87" s="1120"/>
      <c r="U87" s="1120"/>
      <c r="V87" s="1120"/>
      <c r="W87" s="1120"/>
      <c r="X87" s="1120"/>
      <c r="Y87" s="1008">
        <f t="shared" si="73"/>
        <v>610864435</v>
      </c>
      <c r="Z87" s="944"/>
      <c r="AA87" s="944"/>
      <c r="AB87" s="944"/>
      <c r="AC87" s="944"/>
      <c r="AD87" s="944"/>
      <c r="AE87" s="944"/>
      <c r="AF87" s="1008"/>
      <c r="AG87" s="1008"/>
      <c r="AH87" s="1008"/>
      <c r="AI87" s="1008"/>
      <c r="AJ87" s="1008"/>
      <c r="AK87" s="1008"/>
      <c r="AL87" s="1008">
        <f>450000000+160864435</f>
        <v>610864435</v>
      </c>
      <c r="AM87" s="1008"/>
      <c r="AN87" s="1008"/>
      <c r="AO87" s="1008"/>
      <c r="AP87" s="1008"/>
      <c r="AQ87" s="1008"/>
      <c r="AR87" s="1008"/>
      <c r="AS87" s="1008"/>
      <c r="AT87" s="203"/>
      <c r="AU87" s="1011">
        <f t="shared" si="74"/>
        <v>0.40051566596768723</v>
      </c>
      <c r="AV87" s="1008">
        <f t="shared" si="75"/>
        <v>244660776</v>
      </c>
      <c r="AW87" s="1008"/>
      <c r="AX87" s="1008"/>
      <c r="AY87" s="1008"/>
      <c r="AZ87" s="1008"/>
      <c r="BA87" s="1008"/>
      <c r="BB87" s="1008"/>
      <c r="BC87" s="1008"/>
      <c r="BD87" s="1008"/>
      <c r="BE87" s="1008"/>
      <c r="BF87" s="1008"/>
      <c r="BG87" s="1008"/>
      <c r="BH87" s="1008"/>
      <c r="BI87" s="1008">
        <f>+'[18]OCTUBRE 2015'!$V$4087</f>
        <v>244660776</v>
      </c>
      <c r="BJ87" s="1008"/>
      <c r="BK87" s="1008"/>
      <c r="BL87" s="1008"/>
      <c r="BM87" s="1008"/>
      <c r="BN87" s="1008"/>
      <c r="BO87" s="1008"/>
      <c r="BP87" s="1008"/>
      <c r="BQ87" s="1011">
        <f t="shared" si="25"/>
        <v>0.59948433403231283</v>
      </c>
      <c r="BR87" s="1008">
        <f t="shared" si="76"/>
        <v>366203659</v>
      </c>
      <c r="BS87" s="1008">
        <f t="shared" si="77"/>
        <v>0</v>
      </c>
      <c r="BT87" s="1008">
        <f t="shared" si="78"/>
        <v>0</v>
      </c>
      <c r="BU87" s="1008"/>
      <c r="BV87" s="1008">
        <f t="shared" si="79"/>
        <v>0</v>
      </c>
      <c r="BW87" s="1008"/>
      <c r="BX87" s="1008">
        <f t="shared" si="80"/>
        <v>0</v>
      </c>
      <c r="BY87" s="1008">
        <f t="shared" si="80"/>
        <v>0</v>
      </c>
      <c r="BZ87" s="1008"/>
      <c r="CA87" s="1008">
        <f t="shared" si="92"/>
        <v>0</v>
      </c>
      <c r="CB87" s="1008">
        <f t="shared" si="92"/>
        <v>0</v>
      </c>
      <c r="CC87" s="1008"/>
      <c r="CD87" s="1008">
        <f t="shared" si="93"/>
        <v>0</v>
      </c>
      <c r="CE87" s="1008">
        <f t="shared" si="93"/>
        <v>366203659</v>
      </c>
      <c r="CF87" s="1008">
        <f t="shared" si="93"/>
        <v>0</v>
      </c>
      <c r="CG87" s="1008">
        <f t="shared" si="93"/>
        <v>0</v>
      </c>
      <c r="CH87" s="1008">
        <f t="shared" si="93"/>
        <v>0</v>
      </c>
      <c r="CI87" s="1008">
        <f t="shared" si="93"/>
        <v>0</v>
      </c>
      <c r="CJ87" s="1008"/>
      <c r="CK87" s="1008"/>
      <c r="CL87" s="1008">
        <f t="shared" si="82"/>
        <v>0</v>
      </c>
      <c r="CM87" s="1011">
        <f t="shared" si="83"/>
        <v>0.24822786417415182</v>
      </c>
      <c r="CN87" s="1008">
        <f t="shared" si="84"/>
        <v>151633574</v>
      </c>
      <c r="CO87" s="1008"/>
      <c r="CP87" s="1008"/>
      <c r="CQ87" s="1008"/>
      <c r="CR87" s="1008"/>
      <c r="CS87" s="1008"/>
      <c r="CT87" s="1008"/>
      <c r="CU87" s="1008"/>
      <c r="CV87" s="1008"/>
      <c r="CW87" s="1008"/>
      <c r="CX87" s="1008"/>
      <c r="CY87" s="1008"/>
      <c r="CZ87" s="1008"/>
      <c r="DA87" s="1008">
        <f>+'[18]OCTUBRE 2015'!$H$4085</f>
        <v>151633574</v>
      </c>
      <c r="DB87" s="1008"/>
      <c r="DC87" s="1008"/>
      <c r="DD87" s="1008"/>
      <c r="DE87" s="1008"/>
      <c r="DF87" s="1008"/>
      <c r="DG87" s="1008"/>
      <c r="DH87" s="1008"/>
      <c r="DI87" s="1011">
        <f t="shared" si="70"/>
        <v>0.75177213582584823</v>
      </c>
      <c r="DJ87" s="1008">
        <f t="shared" si="85"/>
        <v>459230861</v>
      </c>
      <c r="DK87" s="1008"/>
      <c r="DL87" s="1008"/>
      <c r="DM87" s="1008"/>
      <c r="DN87" s="1008">
        <f t="shared" si="86"/>
        <v>0</v>
      </c>
      <c r="DO87" s="1008"/>
      <c r="DP87" s="1008">
        <f t="shared" si="87"/>
        <v>0</v>
      </c>
      <c r="DQ87" s="1008">
        <f t="shared" si="87"/>
        <v>0</v>
      </c>
      <c r="DR87" s="1008"/>
      <c r="DS87" s="1008">
        <f t="shared" si="88"/>
        <v>0</v>
      </c>
      <c r="DT87" s="1008">
        <f t="shared" si="88"/>
        <v>0</v>
      </c>
      <c r="DU87" s="1008"/>
      <c r="DV87" s="1008">
        <f t="shared" si="89"/>
        <v>0</v>
      </c>
      <c r="DW87" s="1008">
        <f t="shared" si="89"/>
        <v>459230861</v>
      </c>
      <c r="DX87" s="1008">
        <f t="shared" si="89"/>
        <v>0</v>
      </c>
      <c r="DY87" s="1008">
        <f t="shared" si="90"/>
        <v>0</v>
      </c>
      <c r="DZ87" s="1008">
        <f t="shared" si="90"/>
        <v>0</v>
      </c>
      <c r="EA87" s="1008">
        <f t="shared" si="90"/>
        <v>0</v>
      </c>
      <c r="EB87" s="1008">
        <f t="shared" si="90"/>
        <v>0</v>
      </c>
      <c r="EC87" s="1008"/>
      <c r="ED87" s="1008">
        <f t="shared" si="91"/>
        <v>0</v>
      </c>
    </row>
    <row r="88" spans="1:134" ht="33" customHeight="1" x14ac:dyDescent="0.25">
      <c r="A88" s="1565"/>
      <c r="B88" s="1019"/>
      <c r="C88" s="1116" t="s">
        <v>4425</v>
      </c>
      <c r="D88" s="1019" t="s">
        <v>4618</v>
      </c>
      <c r="E88" s="1020">
        <v>520</v>
      </c>
      <c r="F88" s="1120" t="s">
        <v>3350</v>
      </c>
      <c r="G88" s="1401"/>
      <c r="H88" s="1061">
        <f t="shared" si="71"/>
        <v>0</v>
      </c>
      <c r="I88" s="1061">
        <f t="shared" si="72"/>
        <v>23014856</v>
      </c>
      <c r="J88" s="1401"/>
      <c r="K88" s="1284"/>
      <c r="L88" s="1284"/>
      <c r="M88" s="1115">
        <v>0</v>
      </c>
      <c r="N88" s="1115">
        <v>0</v>
      </c>
      <c r="O88" s="1115">
        <v>0</v>
      </c>
      <c r="P88" s="1115">
        <v>0</v>
      </c>
      <c r="Q88" s="1115">
        <v>40</v>
      </c>
      <c r="R88" s="1115">
        <v>0</v>
      </c>
      <c r="S88" s="1120"/>
      <c r="T88" s="1120"/>
      <c r="U88" s="1120"/>
      <c r="V88" s="1120"/>
      <c r="W88" s="1120"/>
      <c r="X88" s="1120"/>
      <c r="Y88" s="1008">
        <f t="shared" si="73"/>
        <v>23014856</v>
      </c>
      <c r="Z88" s="944"/>
      <c r="AA88" s="1017">
        <f>23014856-23014856</f>
        <v>0</v>
      </c>
      <c r="AB88" s="1017"/>
      <c r="AC88" s="944"/>
      <c r="AD88" s="944"/>
      <c r="AE88" s="944"/>
      <c r="AF88" s="1008">
        <v>23014856</v>
      </c>
      <c r="AG88" s="1008"/>
      <c r="AH88" s="1008"/>
      <c r="AI88" s="1008"/>
      <c r="AJ88" s="1008"/>
      <c r="AK88" s="1008"/>
      <c r="AL88" s="1008"/>
      <c r="AM88" s="1008"/>
      <c r="AN88" s="1008"/>
      <c r="AO88" s="1008"/>
      <c r="AP88" s="1008"/>
      <c r="AQ88" s="1008"/>
      <c r="AR88" s="1008"/>
      <c r="AS88" s="1008"/>
      <c r="AT88" s="203"/>
      <c r="AU88" s="1011">
        <f t="shared" si="74"/>
        <v>0</v>
      </c>
      <c r="AV88" s="1008">
        <f t="shared" si="75"/>
        <v>0</v>
      </c>
      <c r="AW88" s="1008"/>
      <c r="AX88" s="1008"/>
      <c r="AY88" s="1008"/>
      <c r="AZ88" s="1008"/>
      <c r="BA88" s="1008"/>
      <c r="BB88" s="1008"/>
      <c r="BC88" s="1008"/>
      <c r="BD88" s="1008"/>
      <c r="BE88" s="1008"/>
      <c r="BF88" s="1008"/>
      <c r="BG88" s="1008"/>
      <c r="BH88" s="1008"/>
      <c r="BI88" s="1008"/>
      <c r="BJ88" s="1008"/>
      <c r="BK88" s="1008"/>
      <c r="BL88" s="1008"/>
      <c r="BM88" s="1008"/>
      <c r="BN88" s="1008"/>
      <c r="BO88" s="1008"/>
      <c r="BP88" s="1008"/>
      <c r="BQ88" s="1011">
        <f t="shared" ref="BQ88:BQ104" si="94">1-AU88</f>
        <v>1</v>
      </c>
      <c r="BR88" s="1008">
        <f t="shared" si="76"/>
        <v>23014856</v>
      </c>
      <c r="BS88" s="1008">
        <f t="shared" si="77"/>
        <v>0</v>
      </c>
      <c r="BT88" s="1008">
        <f t="shared" si="78"/>
        <v>0</v>
      </c>
      <c r="BU88" s="1008"/>
      <c r="BV88" s="1008">
        <f t="shared" si="79"/>
        <v>0</v>
      </c>
      <c r="BW88" s="1008"/>
      <c r="BX88" s="1008">
        <f t="shared" si="80"/>
        <v>0</v>
      </c>
      <c r="BY88" s="1008">
        <f t="shared" si="80"/>
        <v>23014856</v>
      </c>
      <c r="BZ88" s="1008"/>
      <c r="CA88" s="1008">
        <f t="shared" si="92"/>
        <v>0</v>
      </c>
      <c r="CB88" s="1008">
        <f t="shared" si="92"/>
        <v>0</v>
      </c>
      <c r="CC88" s="1008"/>
      <c r="CD88" s="1008">
        <f t="shared" si="93"/>
        <v>0</v>
      </c>
      <c r="CE88" s="1008">
        <f t="shared" si="93"/>
        <v>0</v>
      </c>
      <c r="CF88" s="1008">
        <f t="shared" si="93"/>
        <v>0</v>
      </c>
      <c r="CG88" s="1008">
        <f t="shared" si="93"/>
        <v>0</v>
      </c>
      <c r="CH88" s="1008">
        <f t="shared" si="93"/>
        <v>0</v>
      </c>
      <c r="CI88" s="1008">
        <f t="shared" si="93"/>
        <v>0</v>
      </c>
      <c r="CJ88" s="1008"/>
      <c r="CK88" s="1008"/>
      <c r="CL88" s="1008">
        <f t="shared" si="82"/>
        <v>0</v>
      </c>
      <c r="CM88" s="1011">
        <f t="shared" si="83"/>
        <v>0</v>
      </c>
      <c r="CN88" s="1008">
        <f t="shared" si="84"/>
        <v>0</v>
      </c>
      <c r="CO88" s="1008"/>
      <c r="CP88" s="1008"/>
      <c r="CQ88" s="1008"/>
      <c r="CR88" s="1008"/>
      <c r="CS88" s="1008"/>
      <c r="CT88" s="1008"/>
      <c r="CU88" s="1008"/>
      <c r="CV88" s="1008"/>
      <c r="CW88" s="1008"/>
      <c r="CX88" s="1008"/>
      <c r="CY88" s="1008"/>
      <c r="CZ88" s="1008"/>
      <c r="DA88" s="1008"/>
      <c r="DB88" s="1008"/>
      <c r="DC88" s="1008"/>
      <c r="DD88" s="1008"/>
      <c r="DE88" s="1008"/>
      <c r="DF88" s="1008"/>
      <c r="DG88" s="1008"/>
      <c r="DH88" s="1008"/>
      <c r="DI88" s="1011">
        <f t="shared" si="70"/>
        <v>1</v>
      </c>
      <c r="DJ88" s="1008">
        <f t="shared" si="85"/>
        <v>23014856</v>
      </c>
      <c r="DK88" s="1008"/>
      <c r="DL88" s="1008">
        <f>AA88-CP88</f>
        <v>0</v>
      </c>
      <c r="DM88" s="1008">
        <f>AB88-CQ88</f>
        <v>0</v>
      </c>
      <c r="DN88" s="1008">
        <f t="shared" si="86"/>
        <v>0</v>
      </c>
      <c r="DO88" s="1008"/>
      <c r="DP88" s="1008">
        <f t="shared" si="87"/>
        <v>0</v>
      </c>
      <c r="DQ88" s="1008">
        <f t="shared" si="87"/>
        <v>23014856</v>
      </c>
      <c r="DR88" s="1008"/>
      <c r="DS88" s="1008">
        <f t="shared" si="88"/>
        <v>0</v>
      </c>
      <c r="DT88" s="1008">
        <f t="shared" si="88"/>
        <v>0</v>
      </c>
      <c r="DU88" s="1008"/>
      <c r="DV88" s="1008">
        <f t="shared" si="89"/>
        <v>0</v>
      </c>
      <c r="DW88" s="1008">
        <f t="shared" si="89"/>
        <v>0</v>
      </c>
      <c r="DX88" s="1008">
        <f t="shared" si="89"/>
        <v>0</v>
      </c>
      <c r="DY88" s="1008">
        <f t="shared" si="90"/>
        <v>0</v>
      </c>
      <c r="DZ88" s="1008">
        <f t="shared" si="90"/>
        <v>0</v>
      </c>
      <c r="EA88" s="1008">
        <f t="shared" si="90"/>
        <v>0</v>
      </c>
      <c r="EB88" s="1008">
        <f t="shared" si="90"/>
        <v>0</v>
      </c>
      <c r="EC88" s="1008"/>
      <c r="ED88" s="1008">
        <f t="shared" si="91"/>
        <v>0</v>
      </c>
    </row>
    <row r="89" spans="1:134" ht="54.75" customHeight="1" x14ac:dyDescent="0.25">
      <c r="A89" s="1565"/>
      <c r="B89" s="1019" t="s">
        <v>4359</v>
      </c>
      <c r="C89" s="1116" t="s">
        <v>4426</v>
      </c>
      <c r="D89" s="1019" t="s">
        <v>4725</v>
      </c>
      <c r="E89" s="1020">
        <v>520</v>
      </c>
      <c r="F89" s="1120" t="s">
        <v>4360</v>
      </c>
      <c r="G89" s="1399">
        <v>150000000</v>
      </c>
      <c r="H89" s="1061">
        <f t="shared" si="71"/>
        <v>0</v>
      </c>
      <c r="I89" s="1061">
        <f t="shared" si="72"/>
        <v>40000000</v>
      </c>
      <c r="J89" s="1399" t="s">
        <v>4771</v>
      </c>
      <c r="K89" s="1283" t="s">
        <v>4883</v>
      </c>
      <c r="L89" s="1283" t="s">
        <v>4884</v>
      </c>
      <c r="M89" s="1115">
        <v>0</v>
      </c>
      <c r="N89" s="1115">
        <v>0</v>
      </c>
      <c r="O89" s="1115">
        <v>0</v>
      </c>
      <c r="P89" s="1115">
        <v>0</v>
      </c>
      <c r="Q89" s="1115">
        <v>0</v>
      </c>
      <c r="R89" s="1115">
        <v>0</v>
      </c>
      <c r="S89" s="1120"/>
      <c r="T89" s="1120"/>
      <c r="U89" s="1120"/>
      <c r="V89" s="1120"/>
      <c r="W89" s="1120"/>
      <c r="X89" s="1120"/>
      <c r="Y89" s="1008">
        <f t="shared" si="73"/>
        <v>40000000</v>
      </c>
      <c r="Z89" s="944"/>
      <c r="AA89" s="944"/>
      <c r="AB89" s="944"/>
      <c r="AC89" s="1008">
        <f>10000000-10000000</f>
        <v>0</v>
      </c>
      <c r="AD89" s="1008"/>
      <c r="AE89" s="1008">
        <v>30000000</v>
      </c>
      <c r="AF89" s="1008"/>
      <c r="AG89" s="1008"/>
      <c r="AH89" s="1008"/>
      <c r="AI89" s="1008"/>
      <c r="AJ89" s="1008"/>
      <c r="AK89" s="1008"/>
      <c r="AL89" s="1008"/>
      <c r="AM89" s="1008"/>
      <c r="AN89" s="1008">
        <v>10000000</v>
      </c>
      <c r="AO89" s="1008"/>
      <c r="AP89" s="1008"/>
      <c r="AQ89" s="1008"/>
      <c r="AR89" s="1008"/>
      <c r="AS89" s="1008"/>
      <c r="AT89" s="203"/>
      <c r="AU89" s="1011">
        <f t="shared" si="74"/>
        <v>1</v>
      </c>
      <c r="AV89" s="1008">
        <f t="shared" si="75"/>
        <v>40000000</v>
      </c>
      <c r="AW89" s="1008"/>
      <c r="AX89" s="1008"/>
      <c r="AY89" s="1008"/>
      <c r="AZ89" s="1008"/>
      <c r="BA89" s="1008"/>
      <c r="BB89" s="1008">
        <f>+'[9]FEBRERO 2015'!$N$1172</f>
        <v>30000000</v>
      </c>
      <c r="BC89" s="1008"/>
      <c r="BD89" s="1008"/>
      <c r="BE89" s="1008"/>
      <c r="BF89" s="1008"/>
      <c r="BG89" s="1008"/>
      <c r="BH89" s="1008"/>
      <c r="BI89" s="1008"/>
      <c r="BJ89" s="1008"/>
      <c r="BK89" s="1008">
        <f>+'[8]FEBRERO 2015'!$W$1245</f>
        <v>10000000</v>
      </c>
      <c r="BL89" s="1008"/>
      <c r="BM89" s="1008"/>
      <c r="BN89" s="1008"/>
      <c r="BO89" s="1008"/>
      <c r="BP89" s="1008"/>
      <c r="BQ89" s="1011">
        <f t="shared" si="94"/>
        <v>0</v>
      </c>
      <c r="BR89" s="1008">
        <f t="shared" si="76"/>
        <v>0</v>
      </c>
      <c r="BS89" s="1008">
        <f t="shared" si="77"/>
        <v>0</v>
      </c>
      <c r="BT89" s="1008">
        <f t="shared" si="78"/>
        <v>0</v>
      </c>
      <c r="BU89" s="1008"/>
      <c r="BV89" s="1008">
        <f t="shared" si="79"/>
        <v>0</v>
      </c>
      <c r="BW89" s="1008"/>
      <c r="BX89" s="1008">
        <f t="shared" si="80"/>
        <v>0</v>
      </c>
      <c r="BY89" s="1008">
        <f t="shared" si="80"/>
        <v>0</v>
      </c>
      <c r="BZ89" s="1008"/>
      <c r="CA89" s="1008">
        <f t="shared" si="92"/>
        <v>0</v>
      </c>
      <c r="CB89" s="1008">
        <f t="shared" si="92"/>
        <v>0</v>
      </c>
      <c r="CC89" s="1008"/>
      <c r="CD89" s="1008">
        <f t="shared" si="93"/>
        <v>0</v>
      </c>
      <c r="CE89" s="1008">
        <f t="shared" si="93"/>
        <v>0</v>
      </c>
      <c r="CF89" s="1008">
        <f t="shared" si="93"/>
        <v>0</v>
      </c>
      <c r="CG89" s="1008">
        <f t="shared" si="93"/>
        <v>0</v>
      </c>
      <c r="CH89" s="1008">
        <f t="shared" si="93"/>
        <v>0</v>
      </c>
      <c r="CI89" s="1008">
        <f t="shared" si="93"/>
        <v>0</v>
      </c>
      <c r="CJ89" s="1008"/>
      <c r="CK89" s="1008"/>
      <c r="CL89" s="1008">
        <f t="shared" si="82"/>
        <v>0</v>
      </c>
      <c r="CM89" s="1011">
        <f t="shared" si="83"/>
        <v>0</v>
      </c>
      <c r="CN89" s="1008">
        <f t="shared" si="84"/>
        <v>0</v>
      </c>
      <c r="CO89" s="1008"/>
      <c r="CP89" s="1008"/>
      <c r="CQ89" s="1008"/>
      <c r="CR89" s="1008"/>
      <c r="CS89" s="1008"/>
      <c r="CT89" s="1008"/>
      <c r="CU89" s="1008"/>
      <c r="CV89" s="1008"/>
      <c r="CW89" s="1008"/>
      <c r="CX89" s="1008"/>
      <c r="CY89" s="1008"/>
      <c r="CZ89" s="1008"/>
      <c r="DA89" s="1008"/>
      <c r="DB89" s="1008"/>
      <c r="DC89" s="1008"/>
      <c r="DD89" s="1008"/>
      <c r="DE89" s="1008"/>
      <c r="DF89" s="1008"/>
      <c r="DG89" s="1008"/>
      <c r="DH89" s="1008"/>
      <c r="DI89" s="1011">
        <f t="shared" si="70"/>
        <v>1</v>
      </c>
      <c r="DJ89" s="1008">
        <f t="shared" si="85"/>
        <v>40000000</v>
      </c>
      <c r="DK89" s="1008"/>
      <c r="DL89" s="1008"/>
      <c r="DM89" s="1008"/>
      <c r="DN89" s="1008">
        <f t="shared" si="86"/>
        <v>0</v>
      </c>
      <c r="DO89" s="1008"/>
      <c r="DP89" s="1008">
        <f t="shared" si="87"/>
        <v>30000000</v>
      </c>
      <c r="DQ89" s="1008">
        <f t="shared" si="87"/>
        <v>0</v>
      </c>
      <c r="DR89" s="1008"/>
      <c r="DS89" s="1008">
        <f t="shared" si="88"/>
        <v>0</v>
      </c>
      <c r="DT89" s="1008">
        <f t="shared" si="88"/>
        <v>0</v>
      </c>
      <c r="DU89" s="1008"/>
      <c r="DV89" s="1008">
        <f t="shared" si="89"/>
        <v>0</v>
      </c>
      <c r="DW89" s="1008">
        <f t="shared" si="89"/>
        <v>0</v>
      </c>
      <c r="DX89" s="1008">
        <f t="shared" si="89"/>
        <v>0</v>
      </c>
      <c r="DY89" s="1008">
        <f t="shared" si="90"/>
        <v>10000000</v>
      </c>
      <c r="DZ89" s="1008">
        <f t="shared" si="90"/>
        <v>0</v>
      </c>
      <c r="EA89" s="1008">
        <f t="shared" si="90"/>
        <v>0</v>
      </c>
      <c r="EB89" s="1008">
        <f t="shared" si="90"/>
        <v>0</v>
      </c>
      <c r="EC89" s="1008"/>
      <c r="ED89" s="1008">
        <f t="shared" si="91"/>
        <v>0</v>
      </c>
    </row>
    <row r="90" spans="1:134" ht="24" customHeight="1" x14ac:dyDescent="0.25">
      <c r="A90" s="1565"/>
      <c r="B90" s="1029"/>
      <c r="C90" s="1116" t="s">
        <v>4427</v>
      </c>
      <c r="D90" s="1019" t="s">
        <v>4619</v>
      </c>
      <c r="E90" s="1020">
        <v>520</v>
      </c>
      <c r="F90" s="1120" t="s">
        <v>3350</v>
      </c>
      <c r="G90" s="1400"/>
      <c r="H90" s="1061">
        <f t="shared" si="71"/>
        <v>48739200</v>
      </c>
      <c r="I90" s="1061">
        <f t="shared" si="72"/>
        <v>1260800</v>
      </c>
      <c r="J90" s="1400"/>
      <c r="K90" s="1573"/>
      <c r="L90" s="1573"/>
      <c r="M90" s="1115">
        <v>0</v>
      </c>
      <c r="N90" s="1115">
        <v>0</v>
      </c>
      <c r="O90" s="1115">
        <v>0</v>
      </c>
      <c r="P90" s="1115">
        <v>90</v>
      </c>
      <c r="Q90" s="1115">
        <v>80</v>
      </c>
      <c r="R90" s="1115">
        <v>72</v>
      </c>
      <c r="S90" s="1120"/>
      <c r="T90" s="1120"/>
      <c r="U90" s="1120"/>
      <c r="V90" s="1120"/>
      <c r="W90" s="1120"/>
      <c r="X90" s="1120"/>
      <c r="Y90" s="1008">
        <f t="shared" si="73"/>
        <v>50000000</v>
      </c>
      <c r="Z90" s="944"/>
      <c r="AA90" s="944"/>
      <c r="AB90" s="944"/>
      <c r="AC90" s="1008">
        <v>40000000</v>
      </c>
      <c r="AD90" s="1008"/>
      <c r="AE90" s="1008"/>
      <c r="AF90" s="1008"/>
      <c r="AG90" s="1008"/>
      <c r="AH90" s="1008"/>
      <c r="AI90" s="1008"/>
      <c r="AJ90" s="1008"/>
      <c r="AK90" s="1008"/>
      <c r="AL90" s="1008"/>
      <c r="AM90" s="1008"/>
      <c r="AN90" s="1008">
        <v>10000000</v>
      </c>
      <c r="AO90" s="1008"/>
      <c r="AP90" s="1008"/>
      <c r="AQ90" s="1008"/>
      <c r="AR90" s="1008"/>
      <c r="AS90" s="1008"/>
      <c r="AT90" s="203"/>
      <c r="AU90" s="1011">
        <f t="shared" si="74"/>
        <v>1</v>
      </c>
      <c r="AV90" s="1008">
        <f t="shared" si="75"/>
        <v>50000000</v>
      </c>
      <c r="AW90" s="1008"/>
      <c r="AX90" s="1008"/>
      <c r="AY90" s="1008"/>
      <c r="AZ90" s="1008">
        <f>+'[11]ABRIL 2015'!$L$1730</f>
        <v>40000000</v>
      </c>
      <c r="BA90" s="1008"/>
      <c r="BB90" s="1008"/>
      <c r="BC90" s="1008"/>
      <c r="BD90" s="1008"/>
      <c r="BE90" s="1008"/>
      <c r="BF90" s="1008"/>
      <c r="BG90" s="1008"/>
      <c r="BH90" s="1008"/>
      <c r="BI90" s="1008"/>
      <c r="BJ90" s="1008"/>
      <c r="BK90" s="1008">
        <f>+'[14]JUNIO 2015'!$X$2249</f>
        <v>10000000</v>
      </c>
      <c r="BL90" s="1008"/>
      <c r="BM90" s="1008"/>
      <c r="BN90" s="1008"/>
      <c r="BO90" s="1008"/>
      <c r="BP90" s="1008"/>
      <c r="BQ90" s="1011">
        <f t="shared" si="94"/>
        <v>0</v>
      </c>
      <c r="BR90" s="1008">
        <f t="shared" si="76"/>
        <v>0</v>
      </c>
      <c r="BS90" s="1008">
        <f t="shared" si="77"/>
        <v>0</v>
      </c>
      <c r="BT90" s="1008">
        <f t="shared" si="78"/>
        <v>0</v>
      </c>
      <c r="BU90" s="1008"/>
      <c r="BV90" s="1008">
        <f t="shared" si="79"/>
        <v>0</v>
      </c>
      <c r="BW90" s="1008"/>
      <c r="BX90" s="1008">
        <f t="shared" si="80"/>
        <v>0</v>
      </c>
      <c r="BY90" s="1008">
        <f t="shared" si="80"/>
        <v>0</v>
      </c>
      <c r="BZ90" s="1008"/>
      <c r="CA90" s="1008">
        <f t="shared" si="92"/>
        <v>0</v>
      </c>
      <c r="CB90" s="1008">
        <f t="shared" si="92"/>
        <v>0</v>
      </c>
      <c r="CC90" s="1008"/>
      <c r="CD90" s="1008">
        <f t="shared" si="93"/>
        <v>0</v>
      </c>
      <c r="CE90" s="1008">
        <f t="shared" si="93"/>
        <v>0</v>
      </c>
      <c r="CF90" s="1008">
        <f t="shared" si="93"/>
        <v>0</v>
      </c>
      <c r="CG90" s="1008">
        <f t="shared" si="93"/>
        <v>0</v>
      </c>
      <c r="CH90" s="1008">
        <f t="shared" si="93"/>
        <v>0</v>
      </c>
      <c r="CI90" s="1008">
        <f t="shared" si="93"/>
        <v>0</v>
      </c>
      <c r="CJ90" s="1008"/>
      <c r="CK90" s="1008"/>
      <c r="CL90" s="1008">
        <f t="shared" si="82"/>
        <v>0</v>
      </c>
      <c r="CM90" s="1011">
        <f t="shared" si="83"/>
        <v>0.97478399999999998</v>
      </c>
      <c r="CN90" s="1008">
        <f t="shared" si="84"/>
        <v>48739200</v>
      </c>
      <c r="CO90" s="1008"/>
      <c r="CP90" s="1008"/>
      <c r="CQ90" s="1008"/>
      <c r="CR90" s="1008">
        <f>+'[14]JUNIO 2015'!$H$2252</f>
        <v>40000000</v>
      </c>
      <c r="CS90" s="1008"/>
      <c r="CT90" s="1008"/>
      <c r="CU90" s="1008"/>
      <c r="CV90" s="1008"/>
      <c r="CW90" s="1008"/>
      <c r="CX90" s="1008"/>
      <c r="CY90" s="1008"/>
      <c r="CZ90" s="1008"/>
      <c r="DA90" s="1008"/>
      <c r="DB90" s="1008"/>
      <c r="DC90" s="1008">
        <f>+'[15]JULIO 2015'!$H$2631</f>
        <v>8739200</v>
      </c>
      <c r="DD90" s="1008"/>
      <c r="DE90" s="1008"/>
      <c r="DF90" s="1008"/>
      <c r="DG90" s="1008"/>
      <c r="DH90" s="1008"/>
      <c r="DI90" s="1011">
        <f t="shared" si="70"/>
        <v>2.5216000000000016E-2</v>
      </c>
      <c r="DJ90" s="1008">
        <f t="shared" si="85"/>
        <v>1260800</v>
      </c>
      <c r="DK90" s="1008"/>
      <c r="DL90" s="1008"/>
      <c r="DM90" s="1008"/>
      <c r="DN90" s="1008">
        <f t="shared" si="86"/>
        <v>0</v>
      </c>
      <c r="DO90" s="1008"/>
      <c r="DP90" s="1008">
        <f t="shared" si="87"/>
        <v>0</v>
      </c>
      <c r="DQ90" s="1008">
        <f t="shared" si="87"/>
        <v>0</v>
      </c>
      <c r="DR90" s="1008"/>
      <c r="DS90" s="1008">
        <f t="shared" si="88"/>
        <v>0</v>
      </c>
      <c r="DT90" s="1008">
        <f t="shared" si="88"/>
        <v>0</v>
      </c>
      <c r="DU90" s="1008"/>
      <c r="DV90" s="1008">
        <f t="shared" si="89"/>
        <v>0</v>
      </c>
      <c r="DW90" s="1008">
        <f t="shared" si="89"/>
        <v>0</v>
      </c>
      <c r="DX90" s="1008">
        <f t="shared" si="89"/>
        <v>0</v>
      </c>
      <c r="DY90" s="1008">
        <f t="shared" si="90"/>
        <v>1260800</v>
      </c>
      <c r="DZ90" s="1008">
        <f t="shared" si="90"/>
        <v>0</v>
      </c>
      <c r="EA90" s="1008">
        <f t="shared" si="90"/>
        <v>0</v>
      </c>
      <c r="EB90" s="1008">
        <f t="shared" si="90"/>
        <v>0</v>
      </c>
      <c r="EC90" s="1008"/>
      <c r="ED90" s="1008">
        <f t="shared" si="91"/>
        <v>0</v>
      </c>
    </row>
    <row r="91" spans="1:134" ht="31.5" customHeight="1" x14ac:dyDescent="0.25">
      <c r="A91" s="1565"/>
      <c r="B91" s="1029"/>
      <c r="C91" s="1116" t="s">
        <v>4428</v>
      </c>
      <c r="D91" s="1019" t="s">
        <v>4620</v>
      </c>
      <c r="E91" s="1020">
        <v>520</v>
      </c>
      <c r="F91" s="1120" t="s">
        <v>3350</v>
      </c>
      <c r="G91" s="1400"/>
      <c r="H91" s="1061">
        <f t="shared" si="71"/>
        <v>20000000</v>
      </c>
      <c r="I91" s="1061">
        <f t="shared" si="72"/>
        <v>0</v>
      </c>
      <c r="J91" s="1400"/>
      <c r="K91" s="1573"/>
      <c r="L91" s="1573"/>
      <c r="M91" s="1115">
        <v>100</v>
      </c>
      <c r="N91" s="1115">
        <v>100</v>
      </c>
      <c r="O91" s="1115">
        <v>100</v>
      </c>
      <c r="P91" s="1115">
        <v>100</v>
      </c>
      <c r="Q91" s="1115">
        <v>100</v>
      </c>
      <c r="R91" s="1115">
        <v>100</v>
      </c>
      <c r="S91" s="1120"/>
      <c r="T91" s="1120"/>
      <c r="U91" s="1120"/>
      <c r="V91" s="1120"/>
      <c r="W91" s="1120"/>
      <c r="X91" s="1120"/>
      <c r="Y91" s="1008">
        <f t="shared" si="73"/>
        <v>20000000</v>
      </c>
      <c r="Z91" s="944"/>
      <c r="AA91" s="944"/>
      <c r="AB91" s="944"/>
      <c r="AC91" s="1008"/>
      <c r="AD91" s="1008"/>
      <c r="AE91" s="1008"/>
      <c r="AF91" s="1008">
        <f>30000000-10000000</f>
        <v>20000000</v>
      </c>
      <c r="AG91" s="1008"/>
      <c r="AH91" s="1008"/>
      <c r="AI91" s="1008"/>
      <c r="AJ91" s="1008"/>
      <c r="AK91" s="1008"/>
      <c r="AL91" s="1008"/>
      <c r="AM91" s="1008"/>
      <c r="AN91" s="1008"/>
      <c r="AO91" s="1008"/>
      <c r="AP91" s="1008"/>
      <c r="AQ91" s="1008"/>
      <c r="AR91" s="1008"/>
      <c r="AS91" s="1008"/>
      <c r="AT91" s="203"/>
      <c r="AU91" s="1011">
        <f t="shared" si="74"/>
        <v>1</v>
      </c>
      <c r="AV91" s="1008">
        <f t="shared" si="75"/>
        <v>20000000</v>
      </c>
      <c r="AW91" s="1008"/>
      <c r="AX91" s="1008"/>
      <c r="AY91" s="1008"/>
      <c r="AZ91" s="1008"/>
      <c r="BA91" s="1008"/>
      <c r="BB91" s="1008"/>
      <c r="BC91" s="1008">
        <f>+'[10]MARZO 2015'!$O$1462</f>
        <v>20000000</v>
      </c>
      <c r="BD91" s="1008"/>
      <c r="BE91" s="1008"/>
      <c r="BF91" s="1008"/>
      <c r="BG91" s="1008"/>
      <c r="BH91" s="1008"/>
      <c r="BI91" s="1008"/>
      <c r="BJ91" s="1008"/>
      <c r="BK91" s="1008"/>
      <c r="BL91" s="1008"/>
      <c r="BM91" s="1008"/>
      <c r="BN91" s="1008"/>
      <c r="BO91" s="1008"/>
      <c r="BP91" s="1008"/>
      <c r="BQ91" s="1011">
        <f t="shared" si="94"/>
        <v>0</v>
      </c>
      <c r="BR91" s="1008">
        <f t="shared" si="76"/>
        <v>0</v>
      </c>
      <c r="BS91" s="1008">
        <f t="shared" si="77"/>
        <v>0</v>
      </c>
      <c r="BT91" s="1008">
        <f t="shared" si="78"/>
        <v>0</v>
      </c>
      <c r="BU91" s="1008"/>
      <c r="BV91" s="1008">
        <f t="shared" si="79"/>
        <v>0</v>
      </c>
      <c r="BW91" s="1008"/>
      <c r="BX91" s="1008">
        <f t="shared" si="80"/>
        <v>0</v>
      </c>
      <c r="BY91" s="1008">
        <f t="shared" si="80"/>
        <v>0</v>
      </c>
      <c r="BZ91" s="1008"/>
      <c r="CA91" s="1008">
        <f t="shared" si="92"/>
        <v>0</v>
      </c>
      <c r="CB91" s="1008">
        <f t="shared" si="92"/>
        <v>0</v>
      </c>
      <c r="CC91" s="1008"/>
      <c r="CD91" s="1008">
        <f t="shared" si="93"/>
        <v>0</v>
      </c>
      <c r="CE91" s="1008">
        <f t="shared" si="93"/>
        <v>0</v>
      </c>
      <c r="CF91" s="1008">
        <f t="shared" si="93"/>
        <v>0</v>
      </c>
      <c r="CG91" s="1008">
        <f t="shared" si="93"/>
        <v>0</v>
      </c>
      <c r="CH91" s="1008">
        <f t="shared" si="93"/>
        <v>0</v>
      </c>
      <c r="CI91" s="1008">
        <f t="shared" si="93"/>
        <v>0</v>
      </c>
      <c r="CJ91" s="1008"/>
      <c r="CK91" s="1008"/>
      <c r="CL91" s="1008">
        <f t="shared" si="82"/>
        <v>0</v>
      </c>
      <c r="CM91" s="1011">
        <f t="shared" si="83"/>
        <v>1</v>
      </c>
      <c r="CN91" s="1008">
        <f t="shared" si="84"/>
        <v>20000000</v>
      </c>
      <c r="CO91" s="1008"/>
      <c r="CP91" s="1008"/>
      <c r="CQ91" s="1008"/>
      <c r="CR91" s="1008"/>
      <c r="CS91" s="1008"/>
      <c r="CT91" s="1008"/>
      <c r="CU91" s="1008">
        <f>+'[10]MARZO 2015'!$O$1463</f>
        <v>20000000</v>
      </c>
      <c r="CV91" s="1008"/>
      <c r="CW91" s="1008"/>
      <c r="CX91" s="1008"/>
      <c r="CY91" s="1008"/>
      <c r="CZ91" s="1008"/>
      <c r="DA91" s="1008"/>
      <c r="DB91" s="1008"/>
      <c r="DC91" s="1008"/>
      <c r="DD91" s="1008"/>
      <c r="DE91" s="1008"/>
      <c r="DF91" s="1008"/>
      <c r="DG91" s="1008"/>
      <c r="DH91" s="1008"/>
      <c r="DI91" s="1011">
        <f t="shared" si="70"/>
        <v>0</v>
      </c>
      <c r="DJ91" s="1008">
        <f t="shared" si="85"/>
        <v>0</v>
      </c>
      <c r="DK91" s="1008"/>
      <c r="DL91" s="1008"/>
      <c r="DM91" s="1008"/>
      <c r="DN91" s="1008">
        <f t="shared" si="86"/>
        <v>0</v>
      </c>
      <c r="DO91" s="1008"/>
      <c r="DP91" s="1008">
        <f t="shared" si="87"/>
        <v>0</v>
      </c>
      <c r="DQ91" s="1008">
        <f t="shared" si="87"/>
        <v>0</v>
      </c>
      <c r="DR91" s="1008"/>
      <c r="DS91" s="1008">
        <f t="shared" si="88"/>
        <v>0</v>
      </c>
      <c r="DT91" s="1008">
        <f t="shared" si="88"/>
        <v>0</v>
      </c>
      <c r="DU91" s="1008"/>
      <c r="DV91" s="1008">
        <f t="shared" si="89"/>
        <v>0</v>
      </c>
      <c r="DW91" s="1008">
        <f t="shared" si="89"/>
        <v>0</v>
      </c>
      <c r="DX91" s="1008">
        <f t="shared" si="89"/>
        <v>0</v>
      </c>
      <c r="DY91" s="1008">
        <f t="shared" si="90"/>
        <v>0</v>
      </c>
      <c r="DZ91" s="1008">
        <f t="shared" si="90"/>
        <v>0</v>
      </c>
      <c r="EA91" s="1008">
        <f t="shared" si="90"/>
        <v>0</v>
      </c>
      <c r="EB91" s="1008">
        <f t="shared" si="90"/>
        <v>0</v>
      </c>
      <c r="EC91" s="1008"/>
      <c r="ED91" s="1008">
        <f t="shared" si="91"/>
        <v>0</v>
      </c>
    </row>
    <row r="92" spans="1:134" ht="30.75" customHeight="1" x14ac:dyDescent="0.25">
      <c r="A92" s="1565"/>
      <c r="B92" s="1029"/>
      <c r="C92" s="1116" t="s">
        <v>4429</v>
      </c>
      <c r="D92" s="1019" t="s">
        <v>4621</v>
      </c>
      <c r="E92" s="1020">
        <v>520</v>
      </c>
      <c r="F92" s="1120" t="s">
        <v>3350</v>
      </c>
      <c r="G92" s="1401"/>
      <c r="H92" s="1061">
        <f t="shared" si="71"/>
        <v>13269163</v>
      </c>
      <c r="I92" s="1061">
        <f t="shared" si="72"/>
        <v>26730837</v>
      </c>
      <c r="J92" s="1401"/>
      <c r="K92" s="1284"/>
      <c r="L92" s="1284"/>
      <c r="M92" s="1115">
        <v>0</v>
      </c>
      <c r="N92" s="1115">
        <v>0</v>
      </c>
      <c r="O92" s="1115">
        <v>0</v>
      </c>
      <c r="P92" s="1115">
        <v>22</v>
      </c>
      <c r="Q92" s="1115">
        <v>0</v>
      </c>
      <c r="R92" s="1115">
        <v>0</v>
      </c>
      <c r="S92" s="1120"/>
      <c r="T92" s="1120"/>
      <c r="U92" s="1120"/>
      <c r="V92" s="1120"/>
      <c r="W92" s="1120"/>
      <c r="X92" s="1120"/>
      <c r="Y92" s="1008">
        <f t="shared" si="73"/>
        <v>40000000</v>
      </c>
      <c r="Z92" s="944"/>
      <c r="AA92" s="944"/>
      <c r="AB92" s="944"/>
      <c r="AC92" s="1008">
        <v>10000000</v>
      </c>
      <c r="AD92" s="1008"/>
      <c r="AE92" s="1008">
        <v>30000000</v>
      </c>
      <c r="AF92" s="1008">
        <f>10000000-10000000</f>
        <v>0</v>
      </c>
      <c r="AG92" s="1008"/>
      <c r="AH92" s="1008"/>
      <c r="AI92" s="1008"/>
      <c r="AJ92" s="1008"/>
      <c r="AK92" s="1008"/>
      <c r="AL92" s="1008"/>
      <c r="AM92" s="1008"/>
      <c r="AN92" s="1008"/>
      <c r="AO92" s="1008"/>
      <c r="AP92" s="1008"/>
      <c r="AQ92" s="1008"/>
      <c r="AR92" s="1008"/>
      <c r="AS92" s="1008"/>
      <c r="AT92" s="203"/>
      <c r="AU92" s="1011">
        <f t="shared" si="74"/>
        <v>0.75</v>
      </c>
      <c r="AV92" s="1008">
        <f t="shared" si="75"/>
        <v>30000000</v>
      </c>
      <c r="AW92" s="1008"/>
      <c r="AX92" s="1008"/>
      <c r="AY92" s="1008"/>
      <c r="AZ92" s="1008"/>
      <c r="BA92" s="1008"/>
      <c r="BB92" s="1008">
        <f>+'[9]FEBRERO 2015'!$N$1187</f>
        <v>30000000</v>
      </c>
      <c r="BC92" s="1008"/>
      <c r="BD92" s="1008"/>
      <c r="BE92" s="1008"/>
      <c r="BF92" s="1008"/>
      <c r="BG92" s="1008"/>
      <c r="BH92" s="1008"/>
      <c r="BI92" s="1008"/>
      <c r="BJ92" s="1008"/>
      <c r="BK92" s="1008"/>
      <c r="BL92" s="1008"/>
      <c r="BM92" s="1008"/>
      <c r="BN92" s="1008"/>
      <c r="BO92" s="1008"/>
      <c r="BP92" s="1008"/>
      <c r="BQ92" s="1011">
        <f t="shared" si="94"/>
        <v>0.25</v>
      </c>
      <c r="BR92" s="1008">
        <f t="shared" si="76"/>
        <v>10000000</v>
      </c>
      <c r="BS92" s="1008">
        <f t="shared" si="77"/>
        <v>0</v>
      </c>
      <c r="BT92" s="1008">
        <f t="shared" si="78"/>
        <v>0</v>
      </c>
      <c r="BU92" s="1008"/>
      <c r="BV92" s="1008">
        <f t="shared" si="79"/>
        <v>10000000</v>
      </c>
      <c r="BW92" s="1008"/>
      <c r="BX92" s="1008">
        <f t="shared" si="80"/>
        <v>0</v>
      </c>
      <c r="BY92" s="1008">
        <f t="shared" si="80"/>
        <v>0</v>
      </c>
      <c r="BZ92" s="1008"/>
      <c r="CA92" s="1008">
        <f t="shared" si="92"/>
        <v>0</v>
      </c>
      <c r="CB92" s="1008">
        <f t="shared" si="92"/>
        <v>0</v>
      </c>
      <c r="CC92" s="1008"/>
      <c r="CD92" s="1008">
        <f t="shared" si="93"/>
        <v>0</v>
      </c>
      <c r="CE92" s="1008">
        <f t="shared" si="93"/>
        <v>0</v>
      </c>
      <c r="CF92" s="1008">
        <f t="shared" si="93"/>
        <v>0</v>
      </c>
      <c r="CG92" s="1008">
        <f t="shared" si="93"/>
        <v>0</v>
      </c>
      <c r="CH92" s="1008">
        <f t="shared" si="93"/>
        <v>0</v>
      </c>
      <c r="CI92" s="1008">
        <f t="shared" si="93"/>
        <v>0</v>
      </c>
      <c r="CJ92" s="1008"/>
      <c r="CK92" s="1008"/>
      <c r="CL92" s="1008">
        <f t="shared" si="82"/>
        <v>0</v>
      </c>
      <c r="CM92" s="1011">
        <f t="shared" si="83"/>
        <v>0.33172907499999998</v>
      </c>
      <c r="CN92" s="1008">
        <f t="shared" si="84"/>
        <v>13269163</v>
      </c>
      <c r="CO92" s="1008"/>
      <c r="CP92" s="1008"/>
      <c r="CQ92" s="1008"/>
      <c r="CR92" s="1008"/>
      <c r="CS92" s="1008"/>
      <c r="CT92" s="1008">
        <f>+'[17]SEPTIEMBRE 2015'!$H$3661</f>
        <v>13269163</v>
      </c>
      <c r="CU92" s="1008"/>
      <c r="CV92" s="1008"/>
      <c r="CW92" s="1008"/>
      <c r="CX92" s="1008"/>
      <c r="CY92" s="1008"/>
      <c r="CZ92" s="1008"/>
      <c r="DA92" s="1008"/>
      <c r="DB92" s="1008"/>
      <c r="DC92" s="1008"/>
      <c r="DD92" s="1008"/>
      <c r="DE92" s="1008"/>
      <c r="DF92" s="1008"/>
      <c r="DG92" s="1008"/>
      <c r="DH92" s="1008"/>
      <c r="DI92" s="1011">
        <f t="shared" si="70"/>
        <v>0.66827092500000007</v>
      </c>
      <c r="DJ92" s="1008">
        <f t="shared" si="85"/>
        <v>26730837</v>
      </c>
      <c r="DK92" s="1008"/>
      <c r="DL92" s="1008"/>
      <c r="DM92" s="1008"/>
      <c r="DN92" s="1008">
        <f t="shared" si="86"/>
        <v>10000000</v>
      </c>
      <c r="DO92" s="1008"/>
      <c r="DP92" s="1008">
        <f t="shared" si="87"/>
        <v>16730837</v>
      </c>
      <c r="DQ92" s="1008">
        <f t="shared" si="87"/>
        <v>0</v>
      </c>
      <c r="DR92" s="1008"/>
      <c r="DS92" s="1008">
        <f t="shared" si="88"/>
        <v>0</v>
      </c>
      <c r="DT92" s="1008">
        <f t="shared" si="88"/>
        <v>0</v>
      </c>
      <c r="DU92" s="1008"/>
      <c r="DV92" s="1008">
        <f t="shared" si="89"/>
        <v>0</v>
      </c>
      <c r="DW92" s="1008">
        <f t="shared" si="89"/>
        <v>0</v>
      </c>
      <c r="DX92" s="1008">
        <f t="shared" si="89"/>
        <v>0</v>
      </c>
      <c r="DY92" s="1008">
        <f t="shared" si="90"/>
        <v>0</v>
      </c>
      <c r="DZ92" s="1008">
        <f t="shared" si="90"/>
        <v>0</v>
      </c>
      <c r="EA92" s="1008">
        <f t="shared" si="90"/>
        <v>0</v>
      </c>
      <c r="EB92" s="1008">
        <f t="shared" si="90"/>
        <v>0</v>
      </c>
      <c r="EC92" s="1008"/>
      <c r="ED92" s="1008">
        <f t="shared" si="91"/>
        <v>0</v>
      </c>
    </row>
    <row r="93" spans="1:134" ht="29.25" customHeight="1" x14ac:dyDescent="0.25">
      <c r="A93" s="1565"/>
      <c r="B93" s="1019" t="s">
        <v>4361</v>
      </c>
      <c r="C93" s="1116" t="s">
        <v>4430</v>
      </c>
      <c r="D93" s="1019" t="s">
        <v>4622</v>
      </c>
      <c r="E93" s="1020">
        <v>520</v>
      </c>
      <c r="F93" s="1120" t="s">
        <v>3350</v>
      </c>
      <c r="G93" s="1399">
        <v>20000000</v>
      </c>
      <c r="H93" s="1061">
        <f t="shared" si="71"/>
        <v>7792400</v>
      </c>
      <c r="I93" s="1061">
        <f t="shared" si="72"/>
        <v>2207600</v>
      </c>
      <c r="J93" s="1120" t="s">
        <v>4885</v>
      </c>
      <c r="K93" s="1115" t="s">
        <v>4886</v>
      </c>
      <c r="L93" s="1115" t="s">
        <v>4826</v>
      </c>
      <c r="M93" s="1115">
        <v>0</v>
      </c>
      <c r="N93" s="1115">
        <v>0</v>
      </c>
      <c r="O93" s="1115">
        <v>0</v>
      </c>
      <c r="P93" s="1115">
        <v>0</v>
      </c>
      <c r="Q93" s="1115">
        <v>0</v>
      </c>
      <c r="R93" s="1115">
        <v>0</v>
      </c>
      <c r="S93" s="1120"/>
      <c r="T93" s="1120"/>
      <c r="U93" s="1120"/>
      <c r="V93" s="1120"/>
      <c r="W93" s="1120"/>
      <c r="X93" s="1120"/>
      <c r="Y93" s="1008">
        <f t="shared" si="73"/>
        <v>10000000</v>
      </c>
      <c r="Z93" s="944"/>
      <c r="AA93" s="944"/>
      <c r="AB93" s="944"/>
      <c r="AC93" s="1008"/>
      <c r="AD93" s="1008"/>
      <c r="AE93" s="1008">
        <v>10000000</v>
      </c>
      <c r="AF93" s="1008"/>
      <c r="AG93" s="1008"/>
      <c r="AH93" s="1008"/>
      <c r="AI93" s="1008"/>
      <c r="AJ93" s="1008"/>
      <c r="AK93" s="1008"/>
      <c r="AL93" s="1008"/>
      <c r="AM93" s="1008"/>
      <c r="AN93" s="1008"/>
      <c r="AO93" s="1008"/>
      <c r="AP93" s="1008"/>
      <c r="AQ93" s="1008"/>
      <c r="AR93" s="1008"/>
      <c r="AS93" s="1008"/>
      <c r="AT93" s="203"/>
      <c r="AU93" s="1011">
        <f t="shared" si="74"/>
        <v>0.77924000000000004</v>
      </c>
      <c r="AV93" s="1008">
        <f t="shared" si="75"/>
        <v>7792400</v>
      </c>
      <c r="AW93" s="1008"/>
      <c r="AX93" s="1008"/>
      <c r="AY93" s="1008"/>
      <c r="AZ93" s="1008"/>
      <c r="BA93" s="1008"/>
      <c r="BB93" s="1008">
        <f>+'[18]OCTUBRE 2015'!$O$4180</f>
        <v>7792400</v>
      </c>
      <c r="BC93" s="1008"/>
      <c r="BD93" s="1008"/>
      <c r="BE93" s="1008"/>
      <c r="BF93" s="1008"/>
      <c r="BG93" s="1008"/>
      <c r="BH93" s="1008"/>
      <c r="BI93" s="1008"/>
      <c r="BJ93" s="1008"/>
      <c r="BK93" s="1008"/>
      <c r="BL93" s="1008"/>
      <c r="BM93" s="1008"/>
      <c r="BN93" s="1008"/>
      <c r="BO93" s="1008"/>
      <c r="BP93" s="1008"/>
      <c r="BQ93" s="1011">
        <f t="shared" si="94"/>
        <v>0.22075999999999996</v>
      </c>
      <c r="BR93" s="1008">
        <f t="shared" si="76"/>
        <v>2207600</v>
      </c>
      <c r="BS93" s="1008">
        <f t="shared" si="77"/>
        <v>0</v>
      </c>
      <c r="BT93" s="1008">
        <f t="shared" si="78"/>
        <v>0</v>
      </c>
      <c r="BU93" s="1008"/>
      <c r="BV93" s="1008">
        <f t="shared" si="79"/>
        <v>0</v>
      </c>
      <c r="BW93" s="1008"/>
      <c r="BX93" s="1008">
        <f t="shared" si="80"/>
        <v>2207600</v>
      </c>
      <c r="BY93" s="1008">
        <f t="shared" si="80"/>
        <v>0</v>
      </c>
      <c r="BZ93" s="1008"/>
      <c r="CA93" s="1008">
        <f t="shared" si="92"/>
        <v>0</v>
      </c>
      <c r="CB93" s="1008">
        <f t="shared" si="92"/>
        <v>0</v>
      </c>
      <c r="CC93" s="1008"/>
      <c r="CD93" s="1008">
        <f t="shared" si="93"/>
        <v>0</v>
      </c>
      <c r="CE93" s="1008">
        <f t="shared" si="93"/>
        <v>0</v>
      </c>
      <c r="CF93" s="1008">
        <f t="shared" si="93"/>
        <v>0</v>
      </c>
      <c r="CG93" s="1008">
        <f t="shared" si="93"/>
        <v>0</v>
      </c>
      <c r="CH93" s="1008">
        <f t="shared" si="93"/>
        <v>0</v>
      </c>
      <c r="CI93" s="1008">
        <f t="shared" si="93"/>
        <v>0</v>
      </c>
      <c r="CJ93" s="1008"/>
      <c r="CK93" s="1008"/>
      <c r="CL93" s="1008">
        <f t="shared" si="82"/>
        <v>0</v>
      </c>
      <c r="CM93" s="1011">
        <f t="shared" si="83"/>
        <v>0.77924000000000004</v>
      </c>
      <c r="CN93" s="1008">
        <f t="shared" si="84"/>
        <v>7792400</v>
      </c>
      <c r="CO93" s="1008"/>
      <c r="CP93" s="1008"/>
      <c r="CQ93" s="1008"/>
      <c r="CR93" s="1008"/>
      <c r="CS93" s="1008"/>
      <c r="CT93" s="1008">
        <f>+'[15]JULIO 2015'!$H$2656</f>
        <v>7792400</v>
      </c>
      <c r="CU93" s="1008"/>
      <c r="CV93" s="1008"/>
      <c r="CW93" s="1008"/>
      <c r="CX93" s="1008"/>
      <c r="CY93" s="1008"/>
      <c r="CZ93" s="1008"/>
      <c r="DA93" s="1008"/>
      <c r="DB93" s="1008"/>
      <c r="DC93" s="1008"/>
      <c r="DD93" s="1008"/>
      <c r="DE93" s="1008"/>
      <c r="DF93" s="1008"/>
      <c r="DG93" s="1008"/>
      <c r="DH93" s="1008"/>
      <c r="DI93" s="1011">
        <f t="shared" si="70"/>
        <v>0.22075999999999996</v>
      </c>
      <c r="DJ93" s="1008">
        <f t="shared" si="85"/>
        <v>2207600</v>
      </c>
      <c r="DK93" s="1008"/>
      <c r="DL93" s="1008"/>
      <c r="DM93" s="1008"/>
      <c r="DN93" s="1008">
        <f t="shared" si="86"/>
        <v>0</v>
      </c>
      <c r="DO93" s="1008"/>
      <c r="DP93" s="1008">
        <f t="shared" si="87"/>
        <v>2207600</v>
      </c>
      <c r="DQ93" s="1008">
        <f t="shared" si="87"/>
        <v>0</v>
      </c>
      <c r="DR93" s="1008"/>
      <c r="DS93" s="1008">
        <f t="shared" si="88"/>
        <v>0</v>
      </c>
      <c r="DT93" s="1008">
        <f t="shared" si="88"/>
        <v>0</v>
      </c>
      <c r="DU93" s="1008"/>
      <c r="DV93" s="1008">
        <f t="shared" si="89"/>
        <v>0</v>
      </c>
      <c r="DW93" s="1008">
        <f t="shared" si="89"/>
        <v>0</v>
      </c>
      <c r="DX93" s="1008">
        <f t="shared" si="89"/>
        <v>0</v>
      </c>
      <c r="DY93" s="1008">
        <f t="shared" si="90"/>
        <v>0</v>
      </c>
      <c r="DZ93" s="1008">
        <f t="shared" si="90"/>
        <v>0</v>
      </c>
      <c r="EA93" s="1008">
        <f t="shared" si="90"/>
        <v>0</v>
      </c>
      <c r="EB93" s="1008">
        <f t="shared" si="90"/>
        <v>0</v>
      </c>
      <c r="EC93" s="1008"/>
      <c r="ED93" s="1008">
        <f t="shared" si="91"/>
        <v>0</v>
      </c>
    </row>
    <row r="94" spans="1:134" ht="29.25" customHeight="1" x14ac:dyDescent="0.25">
      <c r="A94" s="1565"/>
      <c r="B94" s="1019"/>
      <c r="C94" s="1116" t="s">
        <v>4431</v>
      </c>
      <c r="D94" s="1019" t="s">
        <v>4623</v>
      </c>
      <c r="E94" s="1020">
        <v>520</v>
      </c>
      <c r="F94" s="1120" t="s">
        <v>3350</v>
      </c>
      <c r="G94" s="1401"/>
      <c r="H94" s="1061">
        <f t="shared" si="71"/>
        <v>0</v>
      </c>
      <c r="I94" s="1061">
        <f t="shared" si="72"/>
        <v>10000000</v>
      </c>
      <c r="J94" s="1120" t="s">
        <v>4885</v>
      </c>
      <c r="K94" s="1115" t="s">
        <v>4826</v>
      </c>
      <c r="L94" s="1115" t="s">
        <v>4826</v>
      </c>
      <c r="M94" s="1115">
        <v>0</v>
      </c>
      <c r="N94" s="1115">
        <v>0</v>
      </c>
      <c r="O94" s="1115">
        <v>0</v>
      </c>
      <c r="P94" s="1115">
        <v>0</v>
      </c>
      <c r="Q94" s="1115">
        <v>0</v>
      </c>
      <c r="R94" s="1115">
        <v>0</v>
      </c>
      <c r="S94" s="1120"/>
      <c r="T94" s="1120"/>
      <c r="U94" s="1120"/>
      <c r="V94" s="1120"/>
      <c r="W94" s="1120"/>
      <c r="X94" s="1120"/>
      <c r="Y94" s="1008">
        <f t="shared" si="73"/>
        <v>10000000</v>
      </c>
      <c r="Z94" s="944"/>
      <c r="AA94" s="944"/>
      <c r="AB94" s="944"/>
      <c r="AC94" s="944"/>
      <c r="AD94" s="944"/>
      <c r="AE94" s="1008">
        <v>10000000</v>
      </c>
      <c r="AF94" s="944"/>
      <c r="AG94" s="944"/>
      <c r="AH94" s="944"/>
      <c r="AI94" s="944"/>
      <c r="AJ94" s="944"/>
      <c r="AK94" s="149"/>
      <c r="AL94" s="944"/>
      <c r="AM94" s="944"/>
      <c r="AN94" s="944"/>
      <c r="AO94" s="944"/>
      <c r="AP94" s="944"/>
      <c r="AQ94" s="944"/>
      <c r="AR94" s="944"/>
      <c r="AS94" s="985"/>
      <c r="AT94" s="203"/>
      <c r="AU94" s="1011">
        <f t="shared" si="74"/>
        <v>0</v>
      </c>
      <c r="AV94" s="1008">
        <f t="shared" si="75"/>
        <v>0</v>
      </c>
      <c r="AW94" s="1008"/>
      <c r="AX94" s="1008"/>
      <c r="AY94" s="1008"/>
      <c r="AZ94" s="1008"/>
      <c r="BA94" s="1008"/>
      <c r="BB94" s="1008"/>
      <c r="BC94" s="1008"/>
      <c r="BD94" s="1008"/>
      <c r="BE94" s="1008"/>
      <c r="BF94" s="1008"/>
      <c r="BG94" s="1008"/>
      <c r="BH94" s="1008"/>
      <c r="BI94" s="1008"/>
      <c r="BJ94" s="1008"/>
      <c r="BK94" s="1008"/>
      <c r="BL94" s="1008"/>
      <c r="BM94" s="1008"/>
      <c r="BN94" s="1008"/>
      <c r="BO94" s="1008"/>
      <c r="BP94" s="1008"/>
      <c r="BQ94" s="1011">
        <f t="shared" si="94"/>
        <v>1</v>
      </c>
      <c r="BR94" s="1008">
        <f t="shared" si="76"/>
        <v>10000000</v>
      </c>
      <c r="BS94" s="1008">
        <f t="shared" si="77"/>
        <v>0</v>
      </c>
      <c r="BT94" s="1008">
        <f t="shared" si="78"/>
        <v>0</v>
      </c>
      <c r="BU94" s="1008"/>
      <c r="BV94" s="1008">
        <f t="shared" si="79"/>
        <v>0</v>
      </c>
      <c r="BW94" s="1008"/>
      <c r="BX94" s="1008">
        <f t="shared" si="80"/>
        <v>10000000</v>
      </c>
      <c r="BY94" s="1008">
        <f t="shared" si="80"/>
        <v>0</v>
      </c>
      <c r="BZ94" s="1008"/>
      <c r="CA94" s="1008">
        <f t="shared" si="92"/>
        <v>0</v>
      </c>
      <c r="CB94" s="1008">
        <f t="shared" si="92"/>
        <v>0</v>
      </c>
      <c r="CC94" s="1008"/>
      <c r="CD94" s="1008">
        <f t="shared" si="93"/>
        <v>0</v>
      </c>
      <c r="CE94" s="1008">
        <f t="shared" si="93"/>
        <v>0</v>
      </c>
      <c r="CF94" s="1008">
        <f t="shared" si="93"/>
        <v>0</v>
      </c>
      <c r="CG94" s="1008">
        <f t="shared" si="93"/>
        <v>0</v>
      </c>
      <c r="CH94" s="1008">
        <f t="shared" si="93"/>
        <v>0</v>
      </c>
      <c r="CI94" s="1008">
        <f t="shared" si="93"/>
        <v>0</v>
      </c>
      <c r="CJ94" s="1008"/>
      <c r="CK94" s="1008"/>
      <c r="CL94" s="1008">
        <f t="shared" si="82"/>
        <v>0</v>
      </c>
      <c r="CM94" s="1011">
        <f t="shared" si="83"/>
        <v>0</v>
      </c>
      <c r="CN94" s="1008">
        <f t="shared" si="84"/>
        <v>0</v>
      </c>
      <c r="CO94" s="1008"/>
      <c r="CP94" s="1008"/>
      <c r="CQ94" s="1008"/>
      <c r="CR94" s="1008"/>
      <c r="CS94" s="1008"/>
      <c r="CT94" s="1008"/>
      <c r="CU94" s="1008"/>
      <c r="CV94" s="1008"/>
      <c r="CW94" s="1008"/>
      <c r="CX94" s="1008"/>
      <c r="CY94" s="1008"/>
      <c r="CZ94" s="1008"/>
      <c r="DA94" s="1008"/>
      <c r="DB94" s="1008"/>
      <c r="DC94" s="1008"/>
      <c r="DD94" s="1008"/>
      <c r="DE94" s="1008"/>
      <c r="DF94" s="1008"/>
      <c r="DG94" s="1008"/>
      <c r="DH94" s="1008"/>
      <c r="DI94" s="1011">
        <f t="shared" si="70"/>
        <v>1</v>
      </c>
      <c r="DJ94" s="1008">
        <f t="shared" si="85"/>
        <v>10000000</v>
      </c>
      <c r="DK94" s="1008"/>
      <c r="DL94" s="1008"/>
      <c r="DM94" s="1008"/>
      <c r="DN94" s="1008">
        <f t="shared" si="86"/>
        <v>0</v>
      </c>
      <c r="DO94" s="1008"/>
      <c r="DP94" s="1008">
        <f t="shared" si="87"/>
        <v>10000000</v>
      </c>
      <c r="DQ94" s="1008">
        <f t="shared" si="87"/>
        <v>0</v>
      </c>
      <c r="DR94" s="1008"/>
      <c r="DS94" s="1008">
        <f t="shared" si="88"/>
        <v>0</v>
      </c>
      <c r="DT94" s="1008">
        <f t="shared" si="88"/>
        <v>0</v>
      </c>
      <c r="DU94" s="1008"/>
      <c r="DV94" s="1008">
        <f t="shared" si="89"/>
        <v>0</v>
      </c>
      <c r="DW94" s="1008">
        <f t="shared" si="89"/>
        <v>0</v>
      </c>
      <c r="DX94" s="1008">
        <f t="shared" si="89"/>
        <v>0</v>
      </c>
      <c r="DY94" s="1008">
        <f t="shared" si="90"/>
        <v>0</v>
      </c>
      <c r="DZ94" s="1008">
        <f t="shared" si="90"/>
        <v>0</v>
      </c>
      <c r="EA94" s="1008">
        <f t="shared" si="90"/>
        <v>0</v>
      </c>
      <c r="EB94" s="1008">
        <f t="shared" si="90"/>
        <v>0</v>
      </c>
      <c r="EC94" s="1008"/>
      <c r="ED94" s="1008">
        <f t="shared" si="91"/>
        <v>0</v>
      </c>
    </row>
    <row r="95" spans="1:134" ht="33.75" customHeight="1" x14ac:dyDescent="0.25">
      <c r="A95" s="1565"/>
      <c r="B95" s="1019" t="s">
        <v>4362</v>
      </c>
      <c r="C95" s="1116" t="s">
        <v>4432</v>
      </c>
      <c r="D95" s="1019" t="s">
        <v>4624</v>
      </c>
      <c r="E95" s="1020">
        <v>520</v>
      </c>
      <c r="F95" s="1120" t="s">
        <v>3350</v>
      </c>
      <c r="G95" s="1399">
        <v>150000000</v>
      </c>
      <c r="H95" s="1061">
        <f t="shared" si="71"/>
        <v>2200000</v>
      </c>
      <c r="I95" s="1061">
        <f t="shared" si="72"/>
        <v>12800000</v>
      </c>
      <c r="J95" s="1120" t="s">
        <v>4887</v>
      </c>
      <c r="K95" s="1115" t="s">
        <v>4889</v>
      </c>
      <c r="L95" s="1115" t="s">
        <v>4892</v>
      </c>
      <c r="M95" s="1115">
        <v>0</v>
      </c>
      <c r="N95" s="1115">
        <v>0</v>
      </c>
      <c r="O95" s="1115">
        <v>0</v>
      </c>
      <c r="P95" s="1115">
        <v>0</v>
      </c>
      <c r="Q95" s="1115">
        <v>0</v>
      </c>
      <c r="R95" s="1115">
        <v>0</v>
      </c>
      <c r="S95" s="1120"/>
      <c r="T95" s="1120"/>
      <c r="U95" s="1120"/>
      <c r="V95" s="1120"/>
      <c r="W95" s="1120"/>
      <c r="X95" s="1120"/>
      <c r="Y95" s="1008">
        <f t="shared" si="73"/>
        <v>15000000</v>
      </c>
      <c r="Z95" s="944"/>
      <c r="AA95" s="944">
        <f>15000000-15000000</f>
        <v>0</v>
      </c>
      <c r="AB95" s="944"/>
      <c r="AC95" s="944"/>
      <c r="AD95" s="944"/>
      <c r="AE95" s="1017">
        <f>15000000</f>
        <v>15000000</v>
      </c>
      <c r="AF95" s="944"/>
      <c r="AG95" s="944"/>
      <c r="AH95" s="944"/>
      <c r="AI95" s="944"/>
      <c r="AJ95" s="944"/>
      <c r="AK95" s="149"/>
      <c r="AL95" s="944"/>
      <c r="AM95" s="944"/>
      <c r="AN95" s="944"/>
      <c r="AO95" s="944"/>
      <c r="AP95" s="944"/>
      <c r="AQ95" s="944"/>
      <c r="AR95" s="944"/>
      <c r="AS95" s="985"/>
      <c r="AT95" s="203"/>
      <c r="AU95" s="1011">
        <f t="shared" si="74"/>
        <v>1</v>
      </c>
      <c r="AV95" s="1008">
        <f t="shared" si="75"/>
        <v>15000000</v>
      </c>
      <c r="AW95" s="1008"/>
      <c r="AX95" s="1008"/>
      <c r="AY95" s="1008"/>
      <c r="AZ95" s="1008"/>
      <c r="BA95" s="1008"/>
      <c r="BB95" s="1008">
        <f>+'[8]FEBRERO 2015'!$N$1280</f>
        <v>15000000</v>
      </c>
      <c r="BC95" s="1008"/>
      <c r="BD95" s="1008"/>
      <c r="BE95" s="1008"/>
      <c r="BF95" s="1008"/>
      <c r="BG95" s="1008"/>
      <c r="BH95" s="1008"/>
      <c r="BI95" s="1008"/>
      <c r="BJ95" s="1008"/>
      <c r="BK95" s="1008"/>
      <c r="BL95" s="1008"/>
      <c r="BM95" s="1008"/>
      <c r="BN95" s="1008"/>
      <c r="BO95" s="1008"/>
      <c r="BP95" s="1008"/>
      <c r="BQ95" s="1011">
        <f t="shared" si="94"/>
        <v>0</v>
      </c>
      <c r="BR95" s="1008">
        <f t="shared" si="76"/>
        <v>0</v>
      </c>
      <c r="BS95" s="1008">
        <f t="shared" si="77"/>
        <v>0</v>
      </c>
      <c r="BT95" s="1008">
        <f t="shared" si="78"/>
        <v>0</v>
      </c>
      <c r="BU95" s="1008"/>
      <c r="BV95" s="1008">
        <f t="shared" si="79"/>
        <v>0</v>
      </c>
      <c r="BW95" s="1008"/>
      <c r="BX95" s="1008">
        <f t="shared" si="80"/>
        <v>0</v>
      </c>
      <c r="BY95" s="1008">
        <f t="shared" si="80"/>
        <v>0</v>
      </c>
      <c r="BZ95" s="1008"/>
      <c r="CA95" s="1008">
        <f t="shared" si="92"/>
        <v>0</v>
      </c>
      <c r="CB95" s="1008">
        <f t="shared" si="92"/>
        <v>0</v>
      </c>
      <c r="CC95" s="1008"/>
      <c r="CD95" s="1008">
        <f t="shared" si="93"/>
        <v>0</v>
      </c>
      <c r="CE95" s="1008">
        <f t="shared" si="93"/>
        <v>0</v>
      </c>
      <c r="CF95" s="1008">
        <f t="shared" si="93"/>
        <v>0</v>
      </c>
      <c r="CG95" s="1008">
        <f t="shared" si="93"/>
        <v>0</v>
      </c>
      <c r="CH95" s="1008">
        <f t="shared" si="93"/>
        <v>0</v>
      </c>
      <c r="CI95" s="1008">
        <f t="shared" si="93"/>
        <v>0</v>
      </c>
      <c r="CJ95" s="1008"/>
      <c r="CK95" s="1008"/>
      <c r="CL95" s="1008">
        <f t="shared" si="82"/>
        <v>0</v>
      </c>
      <c r="CM95" s="1011">
        <f t="shared" si="83"/>
        <v>0.14666666666666667</v>
      </c>
      <c r="CN95" s="1008">
        <f t="shared" si="84"/>
        <v>2200000</v>
      </c>
      <c r="CO95" s="1008"/>
      <c r="CP95" s="1008"/>
      <c r="CQ95" s="1008"/>
      <c r="CR95" s="1008"/>
      <c r="CS95" s="1008"/>
      <c r="CT95" s="1008">
        <f>+'[18]OCTUBRE 2015'!$H$4191</f>
        <v>2200000</v>
      </c>
      <c r="CU95" s="1008"/>
      <c r="CV95" s="1008"/>
      <c r="CW95" s="1008"/>
      <c r="CX95" s="1008"/>
      <c r="CY95" s="1008"/>
      <c r="CZ95" s="1008"/>
      <c r="DA95" s="1008"/>
      <c r="DB95" s="1008"/>
      <c r="DC95" s="1008"/>
      <c r="DD95" s="1008"/>
      <c r="DE95" s="1008"/>
      <c r="DF95" s="1008"/>
      <c r="DG95" s="1008"/>
      <c r="DH95" s="1008"/>
      <c r="DI95" s="1011">
        <f t="shared" si="70"/>
        <v>0.85333333333333328</v>
      </c>
      <c r="DJ95" s="1008">
        <f t="shared" si="85"/>
        <v>12800000</v>
      </c>
      <c r="DK95" s="1008"/>
      <c r="DL95" s="1008">
        <f>AA95-CP95</f>
        <v>0</v>
      </c>
      <c r="DM95" s="1008">
        <f>AB95-CQ95</f>
        <v>0</v>
      </c>
      <c r="DN95" s="1008">
        <f t="shared" si="86"/>
        <v>0</v>
      </c>
      <c r="DO95" s="1008"/>
      <c r="DP95" s="1008">
        <f t="shared" si="87"/>
        <v>12800000</v>
      </c>
      <c r="DQ95" s="1008">
        <f t="shared" si="87"/>
        <v>0</v>
      </c>
      <c r="DR95" s="1008"/>
      <c r="DS95" s="1008">
        <f t="shared" si="88"/>
        <v>0</v>
      </c>
      <c r="DT95" s="1008">
        <f t="shared" si="88"/>
        <v>0</v>
      </c>
      <c r="DU95" s="1008"/>
      <c r="DV95" s="1008">
        <f t="shared" si="89"/>
        <v>0</v>
      </c>
      <c r="DW95" s="1008">
        <f t="shared" si="89"/>
        <v>0</v>
      </c>
      <c r="DX95" s="1008">
        <f t="shared" si="89"/>
        <v>0</v>
      </c>
      <c r="DY95" s="1008">
        <f t="shared" si="90"/>
        <v>0</v>
      </c>
      <c r="DZ95" s="1008">
        <f t="shared" si="90"/>
        <v>0</v>
      </c>
      <c r="EA95" s="1008">
        <f t="shared" si="90"/>
        <v>0</v>
      </c>
      <c r="EB95" s="1008">
        <f t="shared" si="90"/>
        <v>0</v>
      </c>
      <c r="EC95" s="1008"/>
      <c r="ED95" s="1008">
        <f t="shared" si="91"/>
        <v>0</v>
      </c>
    </row>
    <row r="96" spans="1:134" ht="48" customHeight="1" x14ac:dyDescent="0.25">
      <c r="A96" s="1565"/>
      <c r="B96" s="1019"/>
      <c r="C96" s="1116" t="s">
        <v>4433</v>
      </c>
      <c r="D96" s="1019" t="s">
        <v>4625</v>
      </c>
      <c r="E96" s="1020">
        <v>520</v>
      </c>
      <c r="F96" s="1120" t="s">
        <v>3350</v>
      </c>
      <c r="G96" s="1400"/>
      <c r="H96" s="1061">
        <f t="shared" si="71"/>
        <v>21818596</v>
      </c>
      <c r="I96" s="1061">
        <f t="shared" si="72"/>
        <v>8181404</v>
      </c>
      <c r="J96" s="1120" t="s">
        <v>4888</v>
      </c>
      <c r="K96" s="1115" t="s">
        <v>4890</v>
      </c>
      <c r="L96" s="1115" t="s">
        <v>4893</v>
      </c>
      <c r="M96" s="1115">
        <v>0</v>
      </c>
      <c r="N96" s="1115">
        <v>0</v>
      </c>
      <c r="O96" s="1115">
        <v>0</v>
      </c>
      <c r="P96" s="1115">
        <v>45</v>
      </c>
      <c r="Q96" s="1115">
        <v>0</v>
      </c>
      <c r="R96" s="1115">
        <v>0</v>
      </c>
      <c r="S96" s="1120"/>
      <c r="T96" s="1120"/>
      <c r="U96" s="1120"/>
      <c r="V96" s="1120"/>
      <c r="W96" s="1120"/>
      <c r="X96" s="1120"/>
      <c r="Y96" s="1008">
        <f t="shared" si="73"/>
        <v>30000000</v>
      </c>
      <c r="Z96" s="944"/>
      <c r="AA96" s="944">
        <f>30000000-30000000</f>
        <v>0</v>
      </c>
      <c r="AB96" s="944"/>
      <c r="AC96" s="944"/>
      <c r="AD96" s="944"/>
      <c r="AE96" s="1017">
        <v>30000000</v>
      </c>
      <c r="AF96" s="944"/>
      <c r="AG96" s="944"/>
      <c r="AH96" s="944"/>
      <c r="AI96" s="944"/>
      <c r="AJ96" s="944"/>
      <c r="AK96" s="149"/>
      <c r="AL96" s="944"/>
      <c r="AM96" s="944"/>
      <c r="AN96" s="944"/>
      <c r="AO96" s="944"/>
      <c r="AP96" s="944"/>
      <c r="AQ96" s="944"/>
      <c r="AR96" s="944"/>
      <c r="AS96" s="985"/>
      <c r="AT96" s="203"/>
      <c r="AU96" s="1011">
        <f t="shared" si="74"/>
        <v>1</v>
      </c>
      <c r="AV96" s="1008">
        <f t="shared" si="75"/>
        <v>30000000</v>
      </c>
      <c r="AW96" s="1008"/>
      <c r="AX96" s="1008"/>
      <c r="AY96" s="1008"/>
      <c r="AZ96" s="1008"/>
      <c r="BA96" s="1008"/>
      <c r="BB96" s="1008">
        <f>+'[8]FEBRERO 2015'!$N$1285</f>
        <v>30000000</v>
      </c>
      <c r="BC96" s="1008"/>
      <c r="BD96" s="1008"/>
      <c r="BE96" s="1008"/>
      <c r="BF96" s="1008"/>
      <c r="BG96" s="1008"/>
      <c r="BH96" s="1008"/>
      <c r="BI96" s="1008"/>
      <c r="BJ96" s="1008"/>
      <c r="BK96" s="1008"/>
      <c r="BL96" s="1008"/>
      <c r="BM96" s="1008"/>
      <c r="BN96" s="1008"/>
      <c r="BO96" s="1008"/>
      <c r="BP96" s="1008"/>
      <c r="BQ96" s="1011">
        <f t="shared" si="94"/>
        <v>0</v>
      </c>
      <c r="BR96" s="1008">
        <f t="shared" si="76"/>
        <v>0</v>
      </c>
      <c r="BS96" s="1008">
        <f t="shared" si="77"/>
        <v>0</v>
      </c>
      <c r="BT96" s="1008">
        <f t="shared" si="78"/>
        <v>0</v>
      </c>
      <c r="BU96" s="1008"/>
      <c r="BV96" s="1008">
        <f t="shared" si="79"/>
        <v>0</v>
      </c>
      <c r="BW96" s="1008"/>
      <c r="BX96" s="1008">
        <f t="shared" si="80"/>
        <v>0</v>
      </c>
      <c r="BY96" s="1008">
        <f t="shared" si="80"/>
        <v>0</v>
      </c>
      <c r="BZ96" s="1008"/>
      <c r="CA96" s="1008">
        <f t="shared" si="92"/>
        <v>0</v>
      </c>
      <c r="CB96" s="1008">
        <f t="shared" si="92"/>
        <v>0</v>
      </c>
      <c r="CC96" s="1008"/>
      <c r="CD96" s="1008">
        <f t="shared" si="93"/>
        <v>0</v>
      </c>
      <c r="CE96" s="1008">
        <f t="shared" si="93"/>
        <v>0</v>
      </c>
      <c r="CF96" s="1008">
        <f t="shared" si="93"/>
        <v>0</v>
      </c>
      <c r="CG96" s="1008">
        <f t="shared" si="93"/>
        <v>0</v>
      </c>
      <c r="CH96" s="1008">
        <f t="shared" si="93"/>
        <v>0</v>
      </c>
      <c r="CI96" s="1008">
        <f t="shared" si="93"/>
        <v>0</v>
      </c>
      <c r="CJ96" s="1008"/>
      <c r="CK96" s="1008"/>
      <c r="CL96" s="1008">
        <f t="shared" si="82"/>
        <v>0</v>
      </c>
      <c r="CM96" s="1011">
        <f t="shared" si="83"/>
        <v>0.72728653333333337</v>
      </c>
      <c r="CN96" s="1008">
        <f t="shared" si="84"/>
        <v>21818596</v>
      </c>
      <c r="CO96" s="1008"/>
      <c r="CP96" s="1008"/>
      <c r="CQ96" s="1008"/>
      <c r="CR96" s="1008"/>
      <c r="CS96" s="1008"/>
      <c r="CT96" s="1008">
        <f>+'[17]SEPTIEMBRE 2015'!$H$3692</f>
        <v>21818596</v>
      </c>
      <c r="CU96" s="1008"/>
      <c r="CV96" s="1008"/>
      <c r="CW96" s="1008"/>
      <c r="CX96" s="1008"/>
      <c r="CY96" s="1008"/>
      <c r="CZ96" s="1008"/>
      <c r="DA96" s="1008"/>
      <c r="DB96" s="1008"/>
      <c r="DC96" s="1008"/>
      <c r="DD96" s="1008"/>
      <c r="DE96" s="1008"/>
      <c r="DF96" s="1008"/>
      <c r="DG96" s="1008"/>
      <c r="DH96" s="1008"/>
      <c r="DI96" s="1011">
        <f t="shared" si="70"/>
        <v>0.27271346666666663</v>
      </c>
      <c r="DJ96" s="1008">
        <f t="shared" si="85"/>
        <v>8181404</v>
      </c>
      <c r="DK96" s="1008"/>
      <c r="DL96" s="1008">
        <f>AA96-CP96</f>
        <v>0</v>
      </c>
      <c r="DM96" s="1008">
        <f>AB96-CQ96</f>
        <v>0</v>
      </c>
      <c r="DN96" s="1008">
        <f t="shared" si="86"/>
        <v>0</v>
      </c>
      <c r="DO96" s="1008"/>
      <c r="DP96" s="1008">
        <f t="shared" si="87"/>
        <v>8181404</v>
      </c>
      <c r="DQ96" s="1008">
        <f t="shared" si="87"/>
        <v>0</v>
      </c>
      <c r="DR96" s="1008"/>
      <c r="DS96" s="1008">
        <f t="shared" si="88"/>
        <v>0</v>
      </c>
      <c r="DT96" s="1008">
        <f t="shared" si="88"/>
        <v>0</v>
      </c>
      <c r="DU96" s="1008"/>
      <c r="DV96" s="1008">
        <f t="shared" si="89"/>
        <v>0</v>
      </c>
      <c r="DW96" s="1008">
        <f t="shared" si="89"/>
        <v>0</v>
      </c>
      <c r="DX96" s="1008">
        <f t="shared" si="89"/>
        <v>0</v>
      </c>
      <c r="DY96" s="1008">
        <f t="shared" si="90"/>
        <v>0</v>
      </c>
      <c r="DZ96" s="1008">
        <f t="shared" si="90"/>
        <v>0</v>
      </c>
      <c r="EA96" s="1008">
        <f t="shared" si="90"/>
        <v>0</v>
      </c>
      <c r="EB96" s="1008">
        <f t="shared" si="90"/>
        <v>0</v>
      </c>
      <c r="EC96" s="1008"/>
      <c r="ED96" s="1008">
        <f t="shared" si="91"/>
        <v>0</v>
      </c>
    </row>
    <row r="97" spans="1:134" ht="34.5" customHeight="1" x14ac:dyDescent="0.25">
      <c r="A97" s="1565"/>
      <c r="B97" s="1019"/>
      <c r="C97" s="1116" t="s">
        <v>4434</v>
      </c>
      <c r="D97" s="1019" t="s">
        <v>4626</v>
      </c>
      <c r="E97" s="1020">
        <v>520</v>
      </c>
      <c r="F97" s="1120" t="s">
        <v>3350</v>
      </c>
      <c r="G97" s="1400"/>
      <c r="H97" s="1061">
        <f t="shared" si="71"/>
        <v>0</v>
      </c>
      <c r="I97" s="1061">
        <f t="shared" si="72"/>
        <v>20000000</v>
      </c>
      <c r="J97" s="1399" t="s">
        <v>4885</v>
      </c>
      <c r="K97" s="1283" t="s">
        <v>4891</v>
      </c>
      <c r="L97" s="1283" t="s">
        <v>4894</v>
      </c>
      <c r="M97" s="1115">
        <v>0</v>
      </c>
      <c r="N97" s="1115">
        <v>0</v>
      </c>
      <c r="O97" s="1115">
        <v>0</v>
      </c>
      <c r="P97" s="1115">
        <v>0</v>
      </c>
      <c r="Q97" s="1115">
        <v>0</v>
      </c>
      <c r="R97" s="1115">
        <v>0</v>
      </c>
      <c r="S97" s="1120"/>
      <c r="T97" s="1120"/>
      <c r="U97" s="1120"/>
      <c r="V97" s="1120"/>
      <c r="W97" s="1120"/>
      <c r="X97" s="1120"/>
      <c r="Y97" s="1008">
        <f t="shared" si="73"/>
        <v>20000000</v>
      </c>
      <c r="Z97" s="944"/>
      <c r="AA97" s="944"/>
      <c r="AB97" s="944"/>
      <c r="AC97" s="944"/>
      <c r="AD97" s="944"/>
      <c r="AE97" s="1008">
        <f>50000000-30000000</f>
        <v>20000000</v>
      </c>
      <c r="AF97" s="944"/>
      <c r="AG97" s="944"/>
      <c r="AH97" s="944"/>
      <c r="AI97" s="944"/>
      <c r="AJ97" s="944"/>
      <c r="AK97" s="149"/>
      <c r="AL97" s="944"/>
      <c r="AM97" s="944"/>
      <c r="AN97" s="944"/>
      <c r="AO97" s="944"/>
      <c r="AP97" s="944"/>
      <c r="AQ97" s="944"/>
      <c r="AR97" s="944"/>
      <c r="AS97" s="985"/>
      <c r="AT97" s="203"/>
      <c r="AU97" s="1011">
        <f t="shared" si="74"/>
        <v>1</v>
      </c>
      <c r="AV97" s="1008">
        <f t="shared" si="75"/>
        <v>20000000</v>
      </c>
      <c r="AW97" s="1008"/>
      <c r="AX97" s="1008"/>
      <c r="AY97" s="1008"/>
      <c r="AZ97" s="1008"/>
      <c r="BA97" s="1008"/>
      <c r="BB97" s="1008">
        <f>+'[9]FEBRERO 2015'!$N$1216-30000000</f>
        <v>20000000</v>
      </c>
      <c r="BC97" s="1008"/>
      <c r="BD97" s="1008"/>
      <c r="BE97" s="1008"/>
      <c r="BF97" s="1008"/>
      <c r="BG97" s="1008"/>
      <c r="BH97" s="1008"/>
      <c r="BI97" s="1008"/>
      <c r="BJ97" s="1008"/>
      <c r="BK97" s="1008"/>
      <c r="BL97" s="1008"/>
      <c r="BM97" s="1008"/>
      <c r="BN97" s="1008"/>
      <c r="BO97" s="1008"/>
      <c r="BP97" s="1008"/>
      <c r="BQ97" s="1011">
        <f t="shared" si="94"/>
        <v>0</v>
      </c>
      <c r="BR97" s="1008">
        <f t="shared" si="76"/>
        <v>0</v>
      </c>
      <c r="BS97" s="1008">
        <f t="shared" si="77"/>
        <v>0</v>
      </c>
      <c r="BT97" s="1008">
        <f t="shared" si="78"/>
        <v>0</v>
      </c>
      <c r="BU97" s="1008"/>
      <c r="BV97" s="1008">
        <f t="shared" si="79"/>
        <v>0</v>
      </c>
      <c r="BW97" s="1008"/>
      <c r="BX97" s="1008">
        <f t="shared" si="80"/>
        <v>0</v>
      </c>
      <c r="BY97" s="1008">
        <f t="shared" si="80"/>
        <v>0</v>
      </c>
      <c r="BZ97" s="1008"/>
      <c r="CA97" s="1008">
        <f t="shared" si="92"/>
        <v>0</v>
      </c>
      <c r="CB97" s="1008">
        <f t="shared" si="92"/>
        <v>0</v>
      </c>
      <c r="CC97" s="1008"/>
      <c r="CD97" s="1008">
        <f t="shared" si="93"/>
        <v>0</v>
      </c>
      <c r="CE97" s="1008">
        <f t="shared" si="93"/>
        <v>0</v>
      </c>
      <c r="CF97" s="1008">
        <f t="shared" si="93"/>
        <v>0</v>
      </c>
      <c r="CG97" s="1008">
        <f t="shared" si="93"/>
        <v>0</v>
      </c>
      <c r="CH97" s="1008">
        <f t="shared" si="93"/>
        <v>0</v>
      </c>
      <c r="CI97" s="1008">
        <f t="shared" si="93"/>
        <v>0</v>
      </c>
      <c r="CJ97" s="1008"/>
      <c r="CK97" s="1008"/>
      <c r="CL97" s="1008">
        <f t="shared" si="82"/>
        <v>0</v>
      </c>
      <c r="CM97" s="1011">
        <f t="shared" si="83"/>
        <v>0</v>
      </c>
      <c r="CN97" s="1008">
        <f t="shared" si="84"/>
        <v>0</v>
      </c>
      <c r="CO97" s="1008"/>
      <c r="CP97" s="1008"/>
      <c r="CQ97" s="1008"/>
      <c r="CR97" s="1008"/>
      <c r="CS97" s="1008"/>
      <c r="CT97" s="1008"/>
      <c r="CU97" s="1008"/>
      <c r="CV97" s="1008"/>
      <c r="CW97" s="1008"/>
      <c r="CX97" s="1008"/>
      <c r="CY97" s="1008"/>
      <c r="CZ97" s="1008"/>
      <c r="DA97" s="1008"/>
      <c r="DB97" s="1008"/>
      <c r="DC97" s="1008"/>
      <c r="DD97" s="1008"/>
      <c r="DE97" s="1008"/>
      <c r="DF97" s="1008"/>
      <c r="DG97" s="1008"/>
      <c r="DH97" s="1008"/>
      <c r="DI97" s="1011">
        <f t="shared" si="70"/>
        <v>1</v>
      </c>
      <c r="DJ97" s="1008">
        <f t="shared" si="85"/>
        <v>20000000</v>
      </c>
      <c r="DK97" s="1008"/>
      <c r="DL97" s="1008"/>
      <c r="DM97" s="1008"/>
      <c r="DN97" s="1008">
        <f t="shared" si="86"/>
        <v>0</v>
      </c>
      <c r="DO97" s="1008"/>
      <c r="DP97" s="1008">
        <f t="shared" si="87"/>
        <v>20000000</v>
      </c>
      <c r="DQ97" s="1008">
        <f t="shared" si="87"/>
        <v>0</v>
      </c>
      <c r="DR97" s="1008"/>
      <c r="DS97" s="1008">
        <f t="shared" si="88"/>
        <v>0</v>
      </c>
      <c r="DT97" s="1008">
        <f t="shared" si="88"/>
        <v>0</v>
      </c>
      <c r="DU97" s="1008"/>
      <c r="DV97" s="1008">
        <f t="shared" si="89"/>
        <v>0</v>
      </c>
      <c r="DW97" s="1008">
        <f t="shared" si="89"/>
        <v>0</v>
      </c>
      <c r="DX97" s="1008">
        <f t="shared" si="89"/>
        <v>0</v>
      </c>
      <c r="DY97" s="1008">
        <f t="shared" si="90"/>
        <v>0</v>
      </c>
      <c r="DZ97" s="1008">
        <f t="shared" si="90"/>
        <v>0</v>
      </c>
      <c r="EA97" s="1008">
        <f t="shared" si="90"/>
        <v>0</v>
      </c>
      <c r="EB97" s="1008">
        <f t="shared" si="90"/>
        <v>0</v>
      </c>
      <c r="EC97" s="1008"/>
      <c r="ED97" s="1008">
        <f t="shared" si="91"/>
        <v>0</v>
      </c>
    </row>
    <row r="98" spans="1:134" ht="33.75" customHeight="1" x14ac:dyDescent="0.25">
      <c r="A98" s="1565"/>
      <c r="B98" s="1019"/>
      <c r="C98" s="1116" t="s">
        <v>4435</v>
      </c>
      <c r="D98" s="1019" t="s">
        <v>4627</v>
      </c>
      <c r="E98" s="1020">
        <v>520</v>
      </c>
      <c r="F98" s="1120" t="s">
        <v>3350</v>
      </c>
      <c r="G98" s="1401"/>
      <c r="H98" s="1061">
        <f t="shared" si="71"/>
        <v>646074</v>
      </c>
      <c r="I98" s="1061">
        <f t="shared" si="72"/>
        <v>24353926</v>
      </c>
      <c r="J98" s="1401"/>
      <c r="K98" s="1284"/>
      <c r="L98" s="1284"/>
      <c r="M98" s="1115">
        <v>0</v>
      </c>
      <c r="N98" s="1115">
        <v>0</v>
      </c>
      <c r="O98" s="1115">
        <v>0</v>
      </c>
      <c r="P98" s="1115">
        <v>0</v>
      </c>
      <c r="Q98" s="1115">
        <v>0</v>
      </c>
      <c r="R98" s="1115">
        <v>0</v>
      </c>
      <c r="S98" s="1120"/>
      <c r="T98" s="1120"/>
      <c r="U98" s="1120"/>
      <c r="V98" s="1120"/>
      <c r="W98" s="1120"/>
      <c r="X98" s="1120"/>
      <c r="Y98" s="1008">
        <f t="shared" si="73"/>
        <v>25000000</v>
      </c>
      <c r="Z98" s="944"/>
      <c r="AA98" s="944">
        <f>10819123-10819123</f>
        <v>0</v>
      </c>
      <c r="AB98" s="944"/>
      <c r="AC98" s="944"/>
      <c r="AD98" s="944"/>
      <c r="AE98" s="1017">
        <f>44180877+10819123-30000000</f>
        <v>25000000</v>
      </c>
      <c r="AF98" s="944"/>
      <c r="AG98" s="944"/>
      <c r="AH98" s="944"/>
      <c r="AI98" s="944"/>
      <c r="AJ98" s="944"/>
      <c r="AK98" s="149"/>
      <c r="AL98" s="944"/>
      <c r="AM98" s="944"/>
      <c r="AN98" s="1008"/>
      <c r="AO98" s="1008"/>
      <c r="AP98" s="1008"/>
      <c r="AQ98" s="1008"/>
      <c r="AR98" s="1008"/>
      <c r="AS98" s="1008"/>
      <c r="AT98" s="203"/>
      <c r="AU98" s="1011">
        <f t="shared" si="74"/>
        <v>0.56723508</v>
      </c>
      <c r="AV98" s="1008">
        <f t="shared" si="75"/>
        <v>14180877</v>
      </c>
      <c r="AW98" s="1008"/>
      <c r="AX98" s="1008"/>
      <c r="AY98" s="1008"/>
      <c r="AZ98" s="1008"/>
      <c r="BA98" s="1008"/>
      <c r="BB98" s="1008">
        <f>+'[9]FEBRERO 2015'!$N$1221-30000000</f>
        <v>14180877</v>
      </c>
      <c r="BC98" s="1008"/>
      <c r="BD98" s="1008"/>
      <c r="BE98" s="1008"/>
      <c r="BF98" s="1008"/>
      <c r="BG98" s="1008"/>
      <c r="BH98" s="1008"/>
      <c r="BI98" s="1008"/>
      <c r="BJ98" s="1008"/>
      <c r="BK98" s="1008"/>
      <c r="BL98" s="1008"/>
      <c r="BM98" s="1008"/>
      <c r="BN98" s="1008"/>
      <c r="BO98" s="1008"/>
      <c r="BP98" s="1008"/>
      <c r="BQ98" s="1011">
        <f t="shared" si="94"/>
        <v>0.43276492</v>
      </c>
      <c r="BR98" s="1008">
        <f t="shared" si="76"/>
        <v>10819123</v>
      </c>
      <c r="BS98" s="1008">
        <f t="shared" si="77"/>
        <v>0</v>
      </c>
      <c r="BT98" s="1008">
        <f t="shared" si="78"/>
        <v>0</v>
      </c>
      <c r="BU98" s="1008"/>
      <c r="BV98" s="1008">
        <f t="shared" si="79"/>
        <v>0</v>
      </c>
      <c r="BW98" s="1008"/>
      <c r="BX98" s="1008">
        <f t="shared" si="80"/>
        <v>10819123</v>
      </c>
      <c r="BY98" s="1008">
        <f t="shared" si="80"/>
        <v>0</v>
      </c>
      <c r="BZ98" s="1008"/>
      <c r="CA98" s="1008">
        <f t="shared" si="92"/>
        <v>0</v>
      </c>
      <c r="CB98" s="1008">
        <f t="shared" si="92"/>
        <v>0</v>
      </c>
      <c r="CC98" s="1008"/>
      <c r="CD98" s="1008">
        <f t="shared" si="93"/>
        <v>0</v>
      </c>
      <c r="CE98" s="1008">
        <f t="shared" si="93"/>
        <v>0</v>
      </c>
      <c r="CF98" s="1008">
        <f t="shared" si="93"/>
        <v>0</v>
      </c>
      <c r="CG98" s="1008">
        <f t="shared" si="93"/>
        <v>0</v>
      </c>
      <c r="CH98" s="1008">
        <f t="shared" si="93"/>
        <v>0</v>
      </c>
      <c r="CI98" s="1008">
        <f t="shared" si="93"/>
        <v>0</v>
      </c>
      <c r="CJ98" s="1008"/>
      <c r="CK98" s="1008"/>
      <c r="CL98" s="1008">
        <f t="shared" si="82"/>
        <v>0</v>
      </c>
      <c r="CM98" s="1011">
        <f t="shared" si="83"/>
        <v>2.5842960000000002E-2</v>
      </c>
      <c r="CN98" s="1008">
        <f t="shared" si="84"/>
        <v>646074</v>
      </c>
      <c r="CO98" s="1008"/>
      <c r="CP98" s="1008"/>
      <c r="CQ98" s="1008"/>
      <c r="CR98" s="1008"/>
      <c r="CS98" s="1008"/>
      <c r="CT98" s="1008">
        <f>+'[16]AGOSTO 2015'!$H$3027</f>
        <v>646074</v>
      </c>
      <c r="CU98" s="1008"/>
      <c r="CV98" s="1008"/>
      <c r="CW98" s="1008"/>
      <c r="CX98" s="1008"/>
      <c r="CY98" s="1008"/>
      <c r="CZ98" s="1008"/>
      <c r="DA98" s="1008"/>
      <c r="DB98" s="1008"/>
      <c r="DC98" s="1008"/>
      <c r="DD98" s="1008"/>
      <c r="DE98" s="1008"/>
      <c r="DF98" s="1008"/>
      <c r="DG98" s="1008"/>
      <c r="DH98" s="1008"/>
      <c r="DI98" s="1011">
        <f t="shared" si="70"/>
        <v>0.97415704000000003</v>
      </c>
      <c r="DJ98" s="1008">
        <f t="shared" si="85"/>
        <v>24353926</v>
      </c>
      <c r="DK98" s="1008"/>
      <c r="DL98" s="1008">
        <f>AA98-CP98</f>
        <v>0</v>
      </c>
      <c r="DM98" s="1008">
        <f>AB98-CQ98</f>
        <v>0</v>
      </c>
      <c r="DN98" s="1008">
        <f t="shared" si="86"/>
        <v>0</v>
      </c>
      <c r="DO98" s="1008"/>
      <c r="DP98" s="1008">
        <f t="shared" si="87"/>
        <v>24353926</v>
      </c>
      <c r="DQ98" s="1008">
        <f t="shared" si="87"/>
        <v>0</v>
      </c>
      <c r="DR98" s="1008"/>
      <c r="DS98" s="1008">
        <f t="shared" si="88"/>
        <v>0</v>
      </c>
      <c r="DT98" s="1008">
        <f t="shared" si="88"/>
        <v>0</v>
      </c>
      <c r="DU98" s="1008"/>
      <c r="DV98" s="1008">
        <f t="shared" si="89"/>
        <v>0</v>
      </c>
      <c r="DW98" s="1008">
        <f t="shared" si="89"/>
        <v>0</v>
      </c>
      <c r="DX98" s="1008">
        <f t="shared" si="89"/>
        <v>0</v>
      </c>
      <c r="DY98" s="1008">
        <f t="shared" si="90"/>
        <v>0</v>
      </c>
      <c r="DZ98" s="1008">
        <f t="shared" si="90"/>
        <v>0</v>
      </c>
      <c r="EA98" s="1008">
        <f t="shared" si="90"/>
        <v>0</v>
      </c>
      <c r="EB98" s="1008">
        <f t="shared" si="90"/>
        <v>0</v>
      </c>
      <c r="EC98" s="1008"/>
      <c r="ED98" s="1008">
        <f t="shared" si="91"/>
        <v>0</v>
      </c>
    </row>
    <row r="99" spans="1:134" s="203" customFormat="1" ht="39.75" customHeight="1" x14ac:dyDescent="0.25">
      <c r="A99" s="1565"/>
      <c r="B99" s="1593" t="s">
        <v>4363</v>
      </c>
      <c r="C99" s="1595" t="s">
        <v>4436</v>
      </c>
      <c r="D99" s="1557" t="s">
        <v>4628</v>
      </c>
      <c r="E99" s="1593">
        <v>520</v>
      </c>
      <c r="F99" s="1399" t="s">
        <v>3350</v>
      </c>
      <c r="G99" s="1399">
        <v>10000000</v>
      </c>
      <c r="H99" s="1061">
        <f t="shared" si="71"/>
        <v>0</v>
      </c>
      <c r="I99" s="1061">
        <f t="shared" si="72"/>
        <v>0</v>
      </c>
      <c r="J99" s="1120" t="s">
        <v>4929</v>
      </c>
      <c r="K99" s="1115" t="s">
        <v>4931</v>
      </c>
      <c r="L99" s="1115" t="s">
        <v>4931</v>
      </c>
      <c r="M99" s="1075">
        <v>0</v>
      </c>
      <c r="N99" s="1075">
        <v>0</v>
      </c>
      <c r="O99" s="1075">
        <v>0</v>
      </c>
      <c r="P99" s="1075"/>
      <c r="Q99" s="1075"/>
      <c r="R99" s="1075"/>
      <c r="S99" s="1120"/>
      <c r="T99" s="1120"/>
      <c r="U99" s="1120"/>
      <c r="V99" s="1120"/>
      <c r="W99" s="1120"/>
      <c r="X99" s="1120"/>
      <c r="Y99" s="1067">
        <f t="shared" si="73"/>
        <v>0</v>
      </c>
      <c r="Z99" s="149"/>
      <c r="AA99" s="149"/>
      <c r="AB99" s="149"/>
      <c r="AC99" s="149"/>
      <c r="AD99" s="149"/>
      <c r="AE99" s="1067">
        <f>10000000-10000000</f>
        <v>0</v>
      </c>
      <c r="AF99" s="149"/>
      <c r="AG99" s="149"/>
      <c r="AH99" s="149"/>
      <c r="AI99" s="149"/>
      <c r="AJ99" s="149"/>
      <c r="AK99" s="149"/>
      <c r="AL99" s="149"/>
      <c r="AM99" s="149"/>
      <c r="AN99" s="1067">
        <f>10000000-10000000</f>
        <v>0</v>
      </c>
      <c r="AO99" s="1067"/>
      <c r="AP99" s="1067"/>
      <c r="AQ99" s="1067"/>
      <c r="AR99" s="1067"/>
      <c r="AS99" s="1067"/>
      <c r="AU99" s="1082">
        <v>0</v>
      </c>
      <c r="AV99" s="1067">
        <f t="shared" si="75"/>
        <v>0</v>
      </c>
      <c r="AW99" s="1067"/>
      <c r="AX99" s="1067"/>
      <c r="AY99" s="1067"/>
      <c r="AZ99" s="1067"/>
      <c r="BA99" s="1067"/>
      <c r="BB99" s="1067">
        <f>+'[9]FEBRERO 2015'!$N$1228-10000000</f>
        <v>0</v>
      </c>
      <c r="BC99" s="1067"/>
      <c r="BD99" s="1067"/>
      <c r="BE99" s="1067"/>
      <c r="BF99" s="1067"/>
      <c r="BG99" s="1067"/>
      <c r="BH99" s="1067"/>
      <c r="BI99" s="1067"/>
      <c r="BJ99" s="1067"/>
      <c r="BK99" s="1067">
        <f>+'[8]FEBRERO 2015'!$W$1302-10000000</f>
        <v>0</v>
      </c>
      <c r="BL99" s="1067"/>
      <c r="BM99" s="1067"/>
      <c r="BN99" s="1067"/>
      <c r="BO99" s="1067"/>
      <c r="BP99" s="1067"/>
      <c r="BQ99" s="1082">
        <v>0</v>
      </c>
      <c r="BR99" s="1067">
        <f t="shared" si="76"/>
        <v>0</v>
      </c>
      <c r="BS99" s="1067">
        <f t="shared" si="77"/>
        <v>0</v>
      </c>
      <c r="BT99" s="1067">
        <f t="shared" si="78"/>
        <v>0</v>
      </c>
      <c r="BU99" s="1067"/>
      <c r="BV99" s="1067">
        <f t="shared" si="79"/>
        <v>0</v>
      </c>
      <c r="BW99" s="1067"/>
      <c r="BX99" s="1067">
        <f t="shared" si="80"/>
        <v>0</v>
      </c>
      <c r="BY99" s="1067">
        <f t="shared" si="80"/>
        <v>0</v>
      </c>
      <c r="BZ99" s="1067"/>
      <c r="CA99" s="1067">
        <f t="shared" si="92"/>
        <v>0</v>
      </c>
      <c r="CB99" s="1067">
        <f t="shared" si="92"/>
        <v>0</v>
      </c>
      <c r="CC99" s="1067"/>
      <c r="CD99" s="1067">
        <f t="shared" si="93"/>
        <v>0</v>
      </c>
      <c r="CE99" s="1067">
        <f t="shared" si="93"/>
        <v>0</v>
      </c>
      <c r="CF99" s="1067">
        <f t="shared" si="93"/>
        <v>0</v>
      </c>
      <c r="CG99" s="1067">
        <f t="shared" si="93"/>
        <v>0</v>
      </c>
      <c r="CH99" s="1067">
        <f t="shared" si="93"/>
        <v>0</v>
      </c>
      <c r="CI99" s="1067">
        <f t="shared" si="93"/>
        <v>0</v>
      </c>
      <c r="CJ99" s="1067"/>
      <c r="CK99" s="1067"/>
      <c r="CL99" s="1067">
        <f t="shared" si="82"/>
        <v>0</v>
      </c>
      <c r="CM99" s="1082">
        <v>0</v>
      </c>
      <c r="CN99" s="1067">
        <f t="shared" si="84"/>
        <v>0</v>
      </c>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82">
        <v>0</v>
      </c>
      <c r="DJ99" s="1067">
        <f t="shared" si="85"/>
        <v>0</v>
      </c>
      <c r="DK99" s="1067"/>
      <c r="DL99" s="1067"/>
      <c r="DM99" s="1067"/>
      <c r="DN99" s="1067">
        <f t="shared" si="86"/>
        <v>0</v>
      </c>
      <c r="DO99" s="1067"/>
      <c r="DP99" s="1067">
        <f t="shared" si="87"/>
        <v>0</v>
      </c>
      <c r="DQ99" s="1067">
        <f t="shared" si="87"/>
        <v>0</v>
      </c>
      <c r="DR99" s="1067"/>
      <c r="DS99" s="1067">
        <f t="shared" si="88"/>
        <v>0</v>
      </c>
      <c r="DT99" s="1067">
        <f t="shared" si="88"/>
        <v>0</v>
      </c>
      <c r="DU99" s="1067"/>
      <c r="DV99" s="1067">
        <f t="shared" si="89"/>
        <v>0</v>
      </c>
      <c r="DW99" s="1067">
        <f t="shared" si="89"/>
        <v>0</v>
      </c>
      <c r="DX99" s="1067">
        <f t="shared" si="89"/>
        <v>0</v>
      </c>
      <c r="DY99" s="1067">
        <f t="shared" si="90"/>
        <v>0</v>
      </c>
      <c r="DZ99" s="1067">
        <f t="shared" si="90"/>
        <v>0</v>
      </c>
      <c r="EA99" s="1067">
        <f t="shared" si="90"/>
        <v>0</v>
      </c>
      <c r="EB99" s="1067">
        <f t="shared" si="90"/>
        <v>0</v>
      </c>
      <c r="EC99" s="1067"/>
      <c r="ED99" s="1067">
        <f t="shared" si="91"/>
        <v>0</v>
      </c>
    </row>
    <row r="100" spans="1:134" s="203" customFormat="1" ht="25.5" hidden="1" customHeight="1" x14ac:dyDescent="0.25">
      <c r="A100" s="1565"/>
      <c r="B100" s="1594"/>
      <c r="C100" s="1596"/>
      <c r="D100" s="1558"/>
      <c r="E100" s="1594"/>
      <c r="F100" s="1401"/>
      <c r="G100" s="1401"/>
      <c r="H100" s="1061"/>
      <c r="I100" s="1061"/>
      <c r="J100" s="1120" t="s">
        <v>4930</v>
      </c>
      <c r="K100" s="1115" t="s">
        <v>4932</v>
      </c>
      <c r="L100" s="1115" t="s">
        <v>4932</v>
      </c>
      <c r="M100" s="1075">
        <v>0</v>
      </c>
      <c r="N100" s="1075">
        <v>0</v>
      </c>
      <c r="O100" s="1075">
        <v>0</v>
      </c>
      <c r="P100" s="1075"/>
      <c r="Q100" s="1075"/>
      <c r="R100" s="1075"/>
      <c r="S100" s="1120"/>
      <c r="T100" s="1120"/>
      <c r="U100" s="1120"/>
      <c r="V100" s="1120"/>
      <c r="W100" s="1120"/>
      <c r="X100" s="1120"/>
      <c r="Y100" s="1067"/>
      <c r="Z100" s="149"/>
      <c r="AA100" s="149"/>
      <c r="AB100" s="149"/>
      <c r="AC100" s="149"/>
      <c r="AD100" s="149"/>
      <c r="AE100" s="1084"/>
      <c r="AF100" s="149"/>
      <c r="AG100" s="149"/>
      <c r="AH100" s="149"/>
      <c r="AI100" s="149"/>
      <c r="AJ100" s="149"/>
      <c r="AK100" s="149"/>
      <c r="AL100" s="149"/>
      <c r="AM100" s="149"/>
      <c r="AN100" s="1067"/>
      <c r="AO100" s="1067"/>
      <c r="AP100" s="1067"/>
      <c r="AQ100" s="1067"/>
      <c r="AR100" s="1067"/>
      <c r="AS100" s="1067"/>
      <c r="AU100" s="1082"/>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82"/>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82"/>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82"/>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row>
    <row r="101" spans="1:134" ht="23.25" customHeight="1" x14ac:dyDescent="0.25">
      <c r="A101" s="1565"/>
      <c r="B101" s="1019" t="s">
        <v>4364</v>
      </c>
      <c r="C101" s="1116" t="s">
        <v>4437</v>
      </c>
      <c r="D101" s="1019" t="s">
        <v>4629</v>
      </c>
      <c r="E101" s="1020">
        <v>520</v>
      </c>
      <c r="F101" s="1120" t="s">
        <v>3350</v>
      </c>
      <c r="G101" s="1399">
        <v>361000000</v>
      </c>
      <c r="H101" s="1061">
        <f t="shared" si="71"/>
        <v>95407747</v>
      </c>
      <c r="I101" s="1061">
        <f>Y101-H101</f>
        <v>76743460</v>
      </c>
      <c r="J101" s="1126" t="s">
        <v>4895</v>
      </c>
      <c r="K101" s="1132" t="s">
        <v>4899</v>
      </c>
      <c r="L101" s="1132" t="s">
        <v>4901</v>
      </c>
      <c r="M101" s="1115">
        <v>24</v>
      </c>
      <c r="N101" s="1115">
        <v>0</v>
      </c>
      <c r="O101" s="1115">
        <v>0</v>
      </c>
      <c r="P101" s="1115">
        <v>54</v>
      </c>
      <c r="Q101" s="1115">
        <v>50</v>
      </c>
      <c r="R101" s="1115">
        <v>27</v>
      </c>
      <c r="S101" s="1120"/>
      <c r="T101" s="1120"/>
      <c r="U101" s="1120"/>
      <c r="V101" s="1120"/>
      <c r="W101" s="1120"/>
      <c r="X101" s="1120"/>
      <c r="Y101" s="1008">
        <f t="shared" si="73"/>
        <v>172151207</v>
      </c>
      <c r="Z101" s="944"/>
      <c r="AA101" s="944"/>
      <c r="AB101" s="944"/>
      <c r="AC101" s="1008">
        <f>80000000-72884540-7115460</f>
        <v>0</v>
      </c>
      <c r="AD101" s="1008">
        <v>72884540</v>
      </c>
      <c r="AE101" s="1017">
        <f>170000000-80733333</f>
        <v>89266667</v>
      </c>
      <c r="AF101" s="944"/>
      <c r="AG101" s="944"/>
      <c r="AH101" s="944"/>
      <c r="AI101" s="944"/>
      <c r="AJ101" s="944"/>
      <c r="AK101" s="149"/>
      <c r="AL101" s="944"/>
      <c r="AM101" s="944"/>
      <c r="AN101" s="1008">
        <v>10000000</v>
      </c>
      <c r="AO101" s="1008"/>
      <c r="AP101" s="1008"/>
      <c r="AQ101" s="1008"/>
      <c r="AR101" s="1008"/>
      <c r="AS101" s="1008"/>
      <c r="AT101" s="203"/>
      <c r="AU101" s="1011">
        <f t="shared" si="74"/>
        <v>1</v>
      </c>
      <c r="AV101" s="1008">
        <f t="shared" si="75"/>
        <v>172151207</v>
      </c>
      <c r="AW101" s="1008"/>
      <c r="AX101" s="1008"/>
      <c r="AY101" s="1008"/>
      <c r="AZ101" s="1008"/>
      <c r="BA101" s="1008">
        <f>+'[18]OCTUBRE 2015'!$N$4227</f>
        <v>72884540</v>
      </c>
      <c r="BB101" s="1008">
        <f>+'[8]FEBRERO 2015'!$N$1309</f>
        <v>89266667</v>
      </c>
      <c r="BC101" s="1008"/>
      <c r="BD101" s="1008"/>
      <c r="BE101" s="1008"/>
      <c r="BF101" s="1008"/>
      <c r="BG101" s="1008"/>
      <c r="BH101" s="1008"/>
      <c r="BI101" s="1008"/>
      <c r="BJ101" s="1008"/>
      <c r="BK101" s="1008">
        <f>+'[8]FEBRERO 2015'!$W$1309</f>
        <v>10000000</v>
      </c>
      <c r="BL101" s="1008"/>
      <c r="BM101" s="1008"/>
      <c r="BN101" s="1008"/>
      <c r="BO101" s="1008"/>
      <c r="BP101" s="1008"/>
      <c r="BQ101" s="1011">
        <f t="shared" si="94"/>
        <v>0</v>
      </c>
      <c r="BR101" s="1008">
        <f t="shared" si="76"/>
        <v>0</v>
      </c>
      <c r="BS101" s="1008">
        <f t="shared" si="77"/>
        <v>0</v>
      </c>
      <c r="BT101" s="1008">
        <f t="shared" si="78"/>
        <v>0</v>
      </c>
      <c r="BU101" s="1008"/>
      <c r="BV101" s="1008">
        <f t="shared" si="79"/>
        <v>0</v>
      </c>
      <c r="BW101" s="1008">
        <f>AD101-BA101</f>
        <v>0</v>
      </c>
      <c r="BX101" s="1008">
        <f t="shared" si="80"/>
        <v>0</v>
      </c>
      <c r="BY101" s="1008">
        <f t="shared" si="80"/>
        <v>0</v>
      </c>
      <c r="BZ101" s="1008"/>
      <c r="CA101" s="1008">
        <f t="shared" si="92"/>
        <v>0</v>
      </c>
      <c r="CB101" s="1008">
        <f t="shared" si="92"/>
        <v>0</v>
      </c>
      <c r="CC101" s="1008"/>
      <c r="CD101" s="1008">
        <f t="shared" si="93"/>
        <v>0</v>
      </c>
      <c r="CE101" s="1008">
        <f t="shared" si="93"/>
        <v>0</v>
      </c>
      <c r="CF101" s="1008">
        <f t="shared" si="93"/>
        <v>0</v>
      </c>
      <c r="CG101" s="1008">
        <f t="shared" si="93"/>
        <v>0</v>
      </c>
      <c r="CH101" s="1008">
        <f t="shared" si="93"/>
        <v>0</v>
      </c>
      <c r="CI101" s="1008">
        <f t="shared" si="93"/>
        <v>0</v>
      </c>
      <c r="CJ101" s="1008"/>
      <c r="CK101" s="1008"/>
      <c r="CL101" s="1008">
        <f t="shared" si="82"/>
        <v>0</v>
      </c>
      <c r="CM101" s="1011">
        <f t="shared" si="83"/>
        <v>0.55420899256314826</v>
      </c>
      <c r="CN101" s="1008">
        <f t="shared" si="84"/>
        <v>95407747</v>
      </c>
      <c r="CO101" s="1008"/>
      <c r="CP101" s="1008"/>
      <c r="CQ101" s="1008"/>
      <c r="CR101" s="1008"/>
      <c r="CS101" s="1008"/>
      <c r="CT101" s="1008">
        <f>+'[18]OCTUBRE 2015'!$H$4228+'[18]OCTUBRE 2015'!$H$4234</f>
        <v>85407747</v>
      </c>
      <c r="CU101" s="1008"/>
      <c r="CV101" s="1008"/>
      <c r="CW101" s="1008"/>
      <c r="CX101" s="1008"/>
      <c r="CY101" s="1008"/>
      <c r="CZ101" s="1008"/>
      <c r="DA101" s="1008"/>
      <c r="DB101" s="1008"/>
      <c r="DC101" s="1008">
        <f>+'[14]JUNIO 2015'!$H$2333</f>
        <v>10000000</v>
      </c>
      <c r="DD101" s="1008"/>
      <c r="DE101" s="1008"/>
      <c r="DF101" s="1008"/>
      <c r="DG101" s="1008"/>
      <c r="DH101" s="1008"/>
      <c r="DI101" s="1011">
        <f t="shared" si="70"/>
        <v>0.44579100743685174</v>
      </c>
      <c r="DJ101" s="1008">
        <f t="shared" si="85"/>
        <v>76743460</v>
      </c>
      <c r="DK101" s="1008"/>
      <c r="DL101" s="1008"/>
      <c r="DM101" s="1008"/>
      <c r="DN101" s="1008">
        <f t="shared" si="86"/>
        <v>0</v>
      </c>
      <c r="DO101" s="1008">
        <f>AD101-CS101</f>
        <v>72884540</v>
      </c>
      <c r="DP101" s="1008">
        <f t="shared" si="87"/>
        <v>3858920</v>
      </c>
      <c r="DQ101" s="1008">
        <f t="shared" si="87"/>
        <v>0</v>
      </c>
      <c r="DR101" s="1008"/>
      <c r="DS101" s="1008">
        <f t="shared" si="88"/>
        <v>0</v>
      </c>
      <c r="DT101" s="1008">
        <f t="shared" si="88"/>
        <v>0</v>
      </c>
      <c r="DU101" s="1008"/>
      <c r="DV101" s="1008">
        <f t="shared" si="89"/>
        <v>0</v>
      </c>
      <c r="DW101" s="1008">
        <f t="shared" si="89"/>
        <v>0</v>
      </c>
      <c r="DX101" s="1008">
        <f t="shared" si="89"/>
        <v>0</v>
      </c>
      <c r="DY101" s="1008">
        <f t="shared" si="90"/>
        <v>0</v>
      </c>
      <c r="DZ101" s="1008">
        <f t="shared" si="90"/>
        <v>0</v>
      </c>
      <c r="EA101" s="1008">
        <f t="shared" si="90"/>
        <v>0</v>
      </c>
      <c r="EB101" s="1008">
        <f t="shared" si="90"/>
        <v>0</v>
      </c>
      <c r="EC101" s="1008"/>
      <c r="ED101" s="1008">
        <f t="shared" si="91"/>
        <v>0</v>
      </c>
    </row>
    <row r="102" spans="1:134" ht="33" customHeight="1" x14ac:dyDescent="0.25">
      <c r="A102" s="1565"/>
      <c r="B102" s="1029"/>
      <c r="C102" s="1116" t="s">
        <v>4438</v>
      </c>
      <c r="D102" s="1019" t="s">
        <v>4706</v>
      </c>
      <c r="E102" s="1020">
        <v>520</v>
      </c>
      <c r="F102" s="1120" t="s">
        <v>3350</v>
      </c>
      <c r="G102" s="1400"/>
      <c r="H102" s="1061">
        <f t="shared" si="71"/>
        <v>110733333</v>
      </c>
      <c r="I102" s="1061">
        <f>Y102-H102</f>
        <v>0</v>
      </c>
      <c r="J102" s="1120" t="s">
        <v>4896</v>
      </c>
      <c r="K102" s="1115" t="s">
        <v>4898</v>
      </c>
      <c r="L102" s="1115" t="s">
        <v>4902</v>
      </c>
      <c r="M102" s="1115">
        <v>58</v>
      </c>
      <c r="N102" s="1115">
        <v>5</v>
      </c>
      <c r="O102" s="1115">
        <v>3</v>
      </c>
      <c r="P102" s="1115">
        <v>100</v>
      </c>
      <c r="Q102" s="1115">
        <v>40</v>
      </c>
      <c r="R102" s="1115">
        <v>40</v>
      </c>
      <c r="S102" s="1120"/>
      <c r="T102" s="1120"/>
      <c r="U102" s="1120"/>
      <c r="V102" s="1120"/>
      <c r="W102" s="1120"/>
      <c r="X102" s="1120"/>
      <c r="Y102" s="1008">
        <f t="shared" si="73"/>
        <v>110733333</v>
      </c>
      <c r="Z102" s="944"/>
      <c r="AA102" s="944"/>
      <c r="AB102" s="944"/>
      <c r="AC102" s="1008">
        <f>70000000-70000000</f>
        <v>0</v>
      </c>
      <c r="AD102" s="1008"/>
      <c r="AE102" s="1008">
        <f>30000000+80733333</f>
        <v>110733333</v>
      </c>
      <c r="AF102" s="944"/>
      <c r="AG102" s="944"/>
      <c r="AH102" s="944"/>
      <c r="AI102" s="944"/>
      <c r="AJ102" s="944"/>
      <c r="AK102" s="149"/>
      <c r="AL102" s="944"/>
      <c r="AM102" s="944"/>
      <c r="AN102" s="1008"/>
      <c r="AO102" s="1008"/>
      <c r="AP102" s="1008"/>
      <c r="AQ102" s="1008"/>
      <c r="AR102" s="1008"/>
      <c r="AS102" s="1008"/>
      <c r="AT102" s="203"/>
      <c r="AU102" s="1011">
        <f t="shared" si="74"/>
        <v>1</v>
      </c>
      <c r="AV102" s="1008">
        <f t="shared" si="75"/>
        <v>110733333</v>
      </c>
      <c r="AW102" s="1008"/>
      <c r="AX102" s="1008"/>
      <c r="AY102" s="1008"/>
      <c r="AZ102" s="1008">
        <f>+'[10]MARZO 2015'!$L$1529-70000000</f>
        <v>0</v>
      </c>
      <c r="BA102" s="1008"/>
      <c r="BB102" s="1008">
        <f>+'[10]MARZO 2015'!$N$1529</f>
        <v>110733333</v>
      </c>
      <c r="BC102" s="1008"/>
      <c r="BD102" s="1008"/>
      <c r="BE102" s="1008"/>
      <c r="BF102" s="1008"/>
      <c r="BG102" s="1008"/>
      <c r="BH102" s="1008"/>
      <c r="BI102" s="1008"/>
      <c r="BJ102" s="1008"/>
      <c r="BK102" s="1008"/>
      <c r="BL102" s="1008"/>
      <c r="BM102" s="1008"/>
      <c r="BN102" s="1008"/>
      <c r="BO102" s="1008"/>
      <c r="BP102" s="1008"/>
      <c r="BQ102" s="1011">
        <f t="shared" si="94"/>
        <v>0</v>
      </c>
      <c r="BR102" s="1008">
        <f t="shared" si="76"/>
        <v>0</v>
      </c>
      <c r="BS102" s="1008">
        <f t="shared" si="77"/>
        <v>0</v>
      </c>
      <c r="BT102" s="1008">
        <f t="shared" si="78"/>
        <v>0</v>
      </c>
      <c r="BU102" s="1008"/>
      <c r="BV102" s="1008">
        <f t="shared" si="79"/>
        <v>0</v>
      </c>
      <c r="BW102" s="1008"/>
      <c r="BX102" s="1008">
        <f t="shared" si="80"/>
        <v>0</v>
      </c>
      <c r="BY102" s="1008">
        <f t="shared" si="80"/>
        <v>0</v>
      </c>
      <c r="BZ102" s="1008"/>
      <c r="CA102" s="1008">
        <f t="shared" si="92"/>
        <v>0</v>
      </c>
      <c r="CB102" s="1008">
        <f t="shared" si="92"/>
        <v>0</v>
      </c>
      <c r="CC102" s="1008"/>
      <c r="CD102" s="1008">
        <f t="shared" si="93"/>
        <v>0</v>
      </c>
      <c r="CE102" s="1008">
        <f t="shared" si="93"/>
        <v>0</v>
      </c>
      <c r="CF102" s="1008">
        <f t="shared" si="93"/>
        <v>0</v>
      </c>
      <c r="CG102" s="1008">
        <f t="shared" si="93"/>
        <v>0</v>
      </c>
      <c r="CH102" s="1008">
        <f t="shared" si="93"/>
        <v>0</v>
      </c>
      <c r="CI102" s="1008">
        <f t="shared" si="93"/>
        <v>0</v>
      </c>
      <c r="CJ102" s="1008"/>
      <c r="CK102" s="1008"/>
      <c r="CL102" s="1008">
        <f t="shared" si="82"/>
        <v>0</v>
      </c>
      <c r="CM102" s="1011">
        <f t="shared" si="83"/>
        <v>1</v>
      </c>
      <c r="CN102" s="1008">
        <f t="shared" si="84"/>
        <v>110733333</v>
      </c>
      <c r="CO102" s="1008"/>
      <c r="CP102" s="1008"/>
      <c r="CQ102" s="1008"/>
      <c r="CR102" s="1008"/>
      <c r="CS102" s="1008"/>
      <c r="CT102" s="1008">
        <f>+'[15]JULIO 2015'!$H$2722</f>
        <v>110733333</v>
      </c>
      <c r="CU102" s="1008"/>
      <c r="CV102" s="1008"/>
      <c r="CW102" s="1008"/>
      <c r="CX102" s="1008"/>
      <c r="CY102" s="1008"/>
      <c r="CZ102" s="1008"/>
      <c r="DA102" s="1008"/>
      <c r="DB102" s="1008"/>
      <c r="DC102" s="1008"/>
      <c r="DD102" s="1008"/>
      <c r="DE102" s="1008"/>
      <c r="DF102" s="1008"/>
      <c r="DG102" s="1008"/>
      <c r="DH102" s="1008"/>
      <c r="DI102" s="1011">
        <f t="shared" si="70"/>
        <v>0</v>
      </c>
      <c r="DJ102" s="1008">
        <f t="shared" si="85"/>
        <v>0</v>
      </c>
      <c r="DK102" s="1008"/>
      <c r="DL102" s="1008"/>
      <c r="DM102" s="1008"/>
      <c r="DN102" s="1008">
        <f t="shared" si="86"/>
        <v>0</v>
      </c>
      <c r="DO102" s="1008"/>
      <c r="DP102" s="1008">
        <f t="shared" si="87"/>
        <v>0</v>
      </c>
      <c r="DQ102" s="1008">
        <f t="shared" si="87"/>
        <v>0</v>
      </c>
      <c r="DR102" s="1008"/>
      <c r="DS102" s="1008">
        <f t="shared" si="88"/>
        <v>0</v>
      </c>
      <c r="DT102" s="1008">
        <f t="shared" si="88"/>
        <v>0</v>
      </c>
      <c r="DU102" s="1008"/>
      <c r="DV102" s="1008">
        <f t="shared" si="89"/>
        <v>0</v>
      </c>
      <c r="DW102" s="1008">
        <f t="shared" si="89"/>
        <v>0</v>
      </c>
      <c r="DX102" s="1008">
        <f t="shared" si="89"/>
        <v>0</v>
      </c>
      <c r="DY102" s="1008">
        <f t="shared" si="90"/>
        <v>0</v>
      </c>
      <c r="DZ102" s="1008">
        <f t="shared" si="90"/>
        <v>0</v>
      </c>
      <c r="EA102" s="1008">
        <f t="shared" si="90"/>
        <v>0</v>
      </c>
      <c r="EB102" s="1008">
        <f t="shared" si="90"/>
        <v>0</v>
      </c>
      <c r="EC102" s="1008"/>
      <c r="ED102" s="1008">
        <f t="shared" si="91"/>
        <v>0</v>
      </c>
    </row>
    <row r="103" spans="1:134" ht="40.5" customHeight="1" x14ac:dyDescent="0.25">
      <c r="A103" s="1565"/>
      <c r="B103" s="1029"/>
      <c r="C103" s="1116" t="s">
        <v>4439</v>
      </c>
      <c r="D103" s="1019" t="s">
        <v>4630</v>
      </c>
      <c r="E103" s="1020">
        <v>520</v>
      </c>
      <c r="F103" s="1120" t="s">
        <v>4933</v>
      </c>
      <c r="G103" s="1401"/>
      <c r="H103" s="1061">
        <f t="shared" si="71"/>
        <v>25523209</v>
      </c>
      <c r="I103" s="1061">
        <f>Y103-H103</f>
        <v>11889899</v>
      </c>
      <c r="J103" s="1120" t="s">
        <v>4897</v>
      </c>
      <c r="K103" s="1115" t="s">
        <v>4900</v>
      </c>
      <c r="L103" s="1115" t="s">
        <v>4903</v>
      </c>
      <c r="M103" s="1115">
        <v>0</v>
      </c>
      <c r="N103" s="1115">
        <v>0</v>
      </c>
      <c r="O103" s="1115">
        <v>0</v>
      </c>
      <c r="P103" s="1115">
        <v>22</v>
      </c>
      <c r="Q103" s="1115">
        <v>0</v>
      </c>
      <c r="R103" s="1115">
        <v>0</v>
      </c>
      <c r="S103" s="1120"/>
      <c r="T103" s="1120"/>
      <c r="U103" s="1120"/>
      <c r="V103" s="1120"/>
      <c r="W103" s="1120"/>
      <c r="X103" s="1120"/>
      <c r="Y103" s="1008">
        <f t="shared" si="73"/>
        <v>37413108</v>
      </c>
      <c r="Z103" s="944"/>
      <c r="AA103" s="944"/>
      <c r="AB103" s="944"/>
      <c r="AC103" s="944"/>
      <c r="AD103" s="944"/>
      <c r="AE103" s="944"/>
      <c r="AF103" s="944"/>
      <c r="AG103" s="944"/>
      <c r="AH103" s="944"/>
      <c r="AI103" s="944"/>
      <c r="AJ103" s="944"/>
      <c r="AK103" s="149"/>
      <c r="AL103" s="944"/>
      <c r="AM103" s="944"/>
      <c r="AN103" s="1008"/>
      <c r="AO103" s="1008"/>
      <c r="AP103" s="1008"/>
      <c r="AQ103" s="1008"/>
      <c r="AR103" s="1008"/>
      <c r="AS103" s="1008">
        <f>3000000+8000000+20123209+4455882+1834017</f>
        <v>37413108</v>
      </c>
      <c r="AT103" s="203"/>
      <c r="AU103" s="1011">
        <f t="shared" si="74"/>
        <v>0.73715049281658185</v>
      </c>
      <c r="AV103" s="1008">
        <f t="shared" si="75"/>
        <v>27579091</v>
      </c>
      <c r="AW103" s="1008"/>
      <c r="AX103" s="1008"/>
      <c r="AY103" s="1008"/>
      <c r="AZ103" s="1008"/>
      <c r="BA103" s="1008"/>
      <c r="BB103" s="1008"/>
      <c r="BC103" s="1008"/>
      <c r="BD103" s="1008"/>
      <c r="BE103" s="1008"/>
      <c r="BF103" s="1008"/>
      <c r="BG103" s="1008"/>
      <c r="BH103" s="1008"/>
      <c r="BI103" s="1008"/>
      <c r="BJ103" s="1008"/>
      <c r="BK103" s="1008"/>
      <c r="BL103" s="1008"/>
      <c r="BM103" s="1008"/>
      <c r="BN103" s="1008"/>
      <c r="BO103" s="1008"/>
      <c r="BP103" s="1008">
        <f>+'[15]JULIO 2015'!$AD$2743</f>
        <v>27579091</v>
      </c>
      <c r="BQ103" s="1011">
        <f t="shared" si="94"/>
        <v>0.26284950718341815</v>
      </c>
      <c r="BR103" s="1008">
        <f t="shared" si="76"/>
        <v>9834017</v>
      </c>
      <c r="BS103" s="1008">
        <f t="shared" si="77"/>
        <v>0</v>
      </c>
      <c r="BT103" s="1008">
        <f t="shared" si="78"/>
        <v>0</v>
      </c>
      <c r="BU103" s="1008"/>
      <c r="BV103" s="1008">
        <f t="shared" si="79"/>
        <v>0</v>
      </c>
      <c r="BW103" s="1008"/>
      <c r="BX103" s="1008">
        <f t="shared" si="80"/>
        <v>0</v>
      </c>
      <c r="BY103" s="1008">
        <f t="shared" si="80"/>
        <v>0</v>
      </c>
      <c r="BZ103" s="1008"/>
      <c r="CA103" s="1008">
        <f t="shared" si="92"/>
        <v>0</v>
      </c>
      <c r="CB103" s="1008">
        <f t="shared" si="92"/>
        <v>0</v>
      </c>
      <c r="CC103" s="1008"/>
      <c r="CD103" s="1008">
        <f t="shared" si="93"/>
        <v>0</v>
      </c>
      <c r="CE103" s="1008">
        <f t="shared" si="93"/>
        <v>0</v>
      </c>
      <c r="CF103" s="1008">
        <f t="shared" si="93"/>
        <v>0</v>
      </c>
      <c r="CG103" s="1008">
        <f t="shared" si="93"/>
        <v>0</v>
      </c>
      <c r="CH103" s="1008">
        <f t="shared" si="93"/>
        <v>0</v>
      </c>
      <c r="CI103" s="1008">
        <f t="shared" si="93"/>
        <v>0</v>
      </c>
      <c r="CJ103" s="1008"/>
      <c r="CK103" s="1008"/>
      <c r="CL103" s="1008">
        <f t="shared" si="82"/>
        <v>9834017</v>
      </c>
      <c r="CM103" s="1011">
        <f t="shared" si="83"/>
        <v>0.68219964510834008</v>
      </c>
      <c r="CN103" s="1008">
        <f t="shared" si="84"/>
        <v>25523209</v>
      </c>
      <c r="CO103" s="1008"/>
      <c r="CP103" s="1008"/>
      <c r="CQ103" s="1008"/>
      <c r="CR103" s="1008"/>
      <c r="CS103" s="1008"/>
      <c r="CT103" s="1008"/>
      <c r="CU103" s="1008"/>
      <c r="CV103" s="1008"/>
      <c r="CW103" s="1008"/>
      <c r="CX103" s="1008"/>
      <c r="CY103" s="1008"/>
      <c r="CZ103" s="1008"/>
      <c r="DA103" s="1008"/>
      <c r="DB103" s="1008"/>
      <c r="DC103" s="1008"/>
      <c r="DD103" s="1008"/>
      <c r="DE103" s="1008"/>
      <c r="DF103" s="1008"/>
      <c r="DG103" s="1008"/>
      <c r="DH103" s="1008">
        <f>+'[18]OCTUBRE 2015'!$H$4271</f>
        <v>25523209</v>
      </c>
      <c r="DI103" s="1011">
        <f t="shared" si="70"/>
        <v>0.31780035489165992</v>
      </c>
      <c r="DJ103" s="1008">
        <f t="shared" si="85"/>
        <v>11889899</v>
      </c>
      <c r="DK103" s="1008"/>
      <c r="DL103" s="1008"/>
      <c r="DM103" s="1008"/>
      <c r="DN103" s="1008">
        <f t="shared" si="86"/>
        <v>0</v>
      </c>
      <c r="DO103" s="1008"/>
      <c r="DP103" s="1008">
        <f t="shared" si="87"/>
        <v>0</v>
      </c>
      <c r="DQ103" s="1008">
        <f t="shared" si="87"/>
        <v>0</v>
      </c>
      <c r="DR103" s="1008"/>
      <c r="DS103" s="1008">
        <f t="shared" si="88"/>
        <v>0</v>
      </c>
      <c r="DT103" s="1008">
        <f t="shared" si="88"/>
        <v>0</v>
      </c>
      <c r="DU103" s="1008"/>
      <c r="DV103" s="1008">
        <f t="shared" si="89"/>
        <v>0</v>
      </c>
      <c r="DW103" s="1008">
        <f t="shared" si="89"/>
        <v>0</v>
      </c>
      <c r="DX103" s="1008">
        <f t="shared" si="89"/>
        <v>0</v>
      </c>
      <c r="DY103" s="1008">
        <f t="shared" si="90"/>
        <v>0</v>
      </c>
      <c r="DZ103" s="1008">
        <f t="shared" si="90"/>
        <v>0</v>
      </c>
      <c r="EA103" s="1008">
        <f t="shared" si="90"/>
        <v>0</v>
      </c>
      <c r="EB103" s="1008">
        <f t="shared" si="90"/>
        <v>0</v>
      </c>
      <c r="EC103" s="1008"/>
      <c r="ED103" s="1008">
        <f t="shared" si="91"/>
        <v>11889899</v>
      </c>
    </row>
    <row r="104" spans="1:134" s="948" customFormat="1" ht="21" customHeight="1" thickBot="1" x14ac:dyDescent="0.3">
      <c r="A104" s="1002"/>
      <c r="B104" s="1554" t="s">
        <v>4365</v>
      </c>
      <c r="C104" s="1555"/>
      <c r="D104" s="1555"/>
      <c r="E104" s="1555"/>
      <c r="F104" s="1556"/>
      <c r="G104" s="1009">
        <f>SUM(G68:G103)</f>
        <v>2832000000</v>
      </c>
      <c r="H104" s="1009">
        <f>SUM(H68:H103)</f>
        <v>1966515918</v>
      </c>
      <c r="I104" s="1009">
        <f>SUM(I68:I103)</f>
        <v>1022725353</v>
      </c>
      <c r="J104" s="1130"/>
      <c r="K104" s="1128"/>
      <c r="L104" s="1128"/>
      <c r="M104" s="1128"/>
      <c r="N104" s="1128"/>
      <c r="O104" s="1128"/>
      <c r="P104" s="1128"/>
      <c r="Q104" s="1128"/>
      <c r="R104" s="1128"/>
      <c r="S104" s="1130"/>
      <c r="T104" s="1130"/>
      <c r="U104" s="1130"/>
      <c r="V104" s="1130"/>
      <c r="W104" s="1130"/>
      <c r="X104" s="1130"/>
      <c r="Y104" s="1009">
        <f t="shared" ref="Y104:AS104" si="95">SUM(Y68:Y103)</f>
        <v>2989241271</v>
      </c>
      <c r="Z104" s="1009">
        <f t="shared" si="95"/>
        <v>0</v>
      </c>
      <c r="AA104" s="1009">
        <f t="shared" si="95"/>
        <v>0</v>
      </c>
      <c r="AB104" s="1009">
        <f t="shared" si="95"/>
        <v>0</v>
      </c>
      <c r="AC104" s="1009">
        <f t="shared" si="95"/>
        <v>50000000</v>
      </c>
      <c r="AD104" s="1009">
        <f t="shared" si="95"/>
        <v>72884540</v>
      </c>
      <c r="AE104" s="1009">
        <f t="shared" si="95"/>
        <v>660000000</v>
      </c>
      <c r="AF104" s="1009">
        <f t="shared" si="95"/>
        <v>923014856</v>
      </c>
      <c r="AG104" s="1009">
        <f t="shared" si="95"/>
        <v>0</v>
      </c>
      <c r="AH104" s="1009">
        <f t="shared" si="95"/>
        <v>0</v>
      </c>
      <c r="AI104" s="1009">
        <f t="shared" si="95"/>
        <v>0</v>
      </c>
      <c r="AJ104" s="1009">
        <f t="shared" si="95"/>
        <v>0</v>
      </c>
      <c r="AK104" s="1009">
        <f t="shared" si="95"/>
        <v>0</v>
      </c>
      <c r="AL104" s="1009">
        <f t="shared" si="95"/>
        <v>610864435</v>
      </c>
      <c r="AM104" s="1009">
        <f t="shared" si="95"/>
        <v>0</v>
      </c>
      <c r="AN104" s="1009">
        <f t="shared" si="95"/>
        <v>75000000</v>
      </c>
      <c r="AO104" s="1009">
        <f t="shared" si="95"/>
        <v>0</v>
      </c>
      <c r="AP104" s="1009">
        <f t="shared" si="95"/>
        <v>0</v>
      </c>
      <c r="AQ104" s="1009">
        <f t="shared" si="95"/>
        <v>0</v>
      </c>
      <c r="AR104" s="1009">
        <f t="shared" si="95"/>
        <v>0</v>
      </c>
      <c r="AS104" s="1009">
        <f t="shared" si="95"/>
        <v>597477440</v>
      </c>
      <c r="AU104" s="1012">
        <f t="shared" si="74"/>
        <v>0.82265790415015316</v>
      </c>
      <c r="AV104" s="1009">
        <f>SUM(AV68:AV103)</f>
        <v>2459122959</v>
      </c>
      <c r="AW104" s="1009">
        <f>SUM(AW68:AW103)</f>
        <v>0</v>
      </c>
      <c r="AX104" s="1009">
        <f>SUM(AX68:AX103)</f>
        <v>0</v>
      </c>
      <c r="AY104" s="1009"/>
      <c r="AZ104" s="1009">
        <f>SUM(AZ68:AZ103)</f>
        <v>40000000</v>
      </c>
      <c r="BA104" s="1009"/>
      <c r="BB104" s="1009">
        <f t="shared" ref="BB104:BP104" si="96">SUM(BB68:BB103)</f>
        <v>636973277</v>
      </c>
      <c r="BC104" s="1009">
        <f t="shared" si="96"/>
        <v>845000000</v>
      </c>
      <c r="BD104" s="1009">
        <f t="shared" si="96"/>
        <v>0</v>
      </c>
      <c r="BE104" s="1009">
        <f t="shared" si="96"/>
        <v>0</v>
      </c>
      <c r="BF104" s="1009">
        <f t="shared" si="96"/>
        <v>0</v>
      </c>
      <c r="BG104" s="1009">
        <f t="shared" si="96"/>
        <v>0</v>
      </c>
      <c r="BH104" s="1009">
        <f t="shared" si="96"/>
        <v>0</v>
      </c>
      <c r="BI104" s="1009">
        <f t="shared" si="96"/>
        <v>244660776</v>
      </c>
      <c r="BJ104" s="1009">
        <f t="shared" si="96"/>
        <v>0</v>
      </c>
      <c r="BK104" s="1009">
        <f t="shared" si="96"/>
        <v>66597464</v>
      </c>
      <c r="BL104" s="1009">
        <f t="shared" si="96"/>
        <v>0</v>
      </c>
      <c r="BM104" s="1009">
        <f t="shared" si="96"/>
        <v>0</v>
      </c>
      <c r="BN104" s="1009">
        <f t="shared" si="96"/>
        <v>0</v>
      </c>
      <c r="BO104" s="1009">
        <f t="shared" si="96"/>
        <v>0</v>
      </c>
      <c r="BP104" s="1009">
        <f t="shared" si="96"/>
        <v>553006902</v>
      </c>
      <c r="BQ104" s="1012">
        <f t="shared" si="94"/>
        <v>0.17734209584984684</v>
      </c>
      <c r="BR104" s="1009">
        <f t="shared" ref="BR104:CL104" si="97">SUM(BR68:BR103)</f>
        <v>530118312</v>
      </c>
      <c r="BS104" s="1009">
        <f t="shared" si="97"/>
        <v>0</v>
      </c>
      <c r="BT104" s="1009">
        <f t="shared" si="97"/>
        <v>0</v>
      </c>
      <c r="BU104" s="1009">
        <f t="shared" si="97"/>
        <v>0</v>
      </c>
      <c r="BV104" s="1009">
        <f t="shared" si="97"/>
        <v>10000000</v>
      </c>
      <c r="BW104" s="1009">
        <f t="shared" si="97"/>
        <v>0</v>
      </c>
      <c r="BX104" s="1009">
        <f t="shared" si="97"/>
        <v>23026723</v>
      </c>
      <c r="BY104" s="1009">
        <f t="shared" si="97"/>
        <v>78014856</v>
      </c>
      <c r="BZ104" s="1009">
        <f t="shared" si="97"/>
        <v>0</v>
      </c>
      <c r="CA104" s="1009">
        <f t="shared" si="97"/>
        <v>0</v>
      </c>
      <c r="CB104" s="1009">
        <f t="shared" si="97"/>
        <v>0</v>
      </c>
      <c r="CC104" s="1009">
        <f t="shared" si="97"/>
        <v>0</v>
      </c>
      <c r="CD104" s="1009">
        <f t="shared" si="97"/>
        <v>0</v>
      </c>
      <c r="CE104" s="1009">
        <f t="shared" si="97"/>
        <v>366203659</v>
      </c>
      <c r="CF104" s="1009">
        <f t="shared" si="97"/>
        <v>0</v>
      </c>
      <c r="CG104" s="1009">
        <f t="shared" si="97"/>
        <v>8402536</v>
      </c>
      <c r="CH104" s="1009">
        <f t="shared" si="97"/>
        <v>0</v>
      </c>
      <c r="CI104" s="1009">
        <f t="shared" si="97"/>
        <v>0</v>
      </c>
      <c r="CJ104" s="1009">
        <f t="shared" si="97"/>
        <v>0</v>
      </c>
      <c r="CK104" s="1009">
        <f t="shared" si="97"/>
        <v>0</v>
      </c>
      <c r="CL104" s="1009">
        <f t="shared" si="97"/>
        <v>44470538</v>
      </c>
      <c r="CM104" s="1012">
        <f t="shared" si="83"/>
        <v>0.65786456820266481</v>
      </c>
      <c r="CN104" s="1009">
        <f>SUM(CN68:CN103)</f>
        <v>1966515918</v>
      </c>
      <c r="CO104" s="1009">
        <f>SUM(CO68:CO103)</f>
        <v>0</v>
      </c>
      <c r="CP104" s="1009">
        <f>SUM(CP68:CP103)</f>
        <v>0</v>
      </c>
      <c r="CQ104" s="1009"/>
      <c r="CR104" s="1009">
        <f>SUM(CR68:CR103)</f>
        <v>40000000</v>
      </c>
      <c r="CS104" s="1009"/>
      <c r="CT104" s="1009">
        <f>SUM(CT68:CT103)</f>
        <v>501581004</v>
      </c>
      <c r="CU104" s="1009">
        <f>SUM(CU68:CU103)</f>
        <v>707349678</v>
      </c>
      <c r="CV104" s="1009"/>
      <c r="CW104" s="1009">
        <f t="shared" ref="CW104:DH104" si="98">SUM(CW68:CW103)</f>
        <v>0</v>
      </c>
      <c r="CX104" s="1009">
        <f t="shared" si="98"/>
        <v>0</v>
      </c>
      <c r="CY104" s="1009">
        <f t="shared" si="98"/>
        <v>0</v>
      </c>
      <c r="CZ104" s="1009">
        <f t="shared" si="98"/>
        <v>0</v>
      </c>
      <c r="DA104" s="1009">
        <f t="shared" si="98"/>
        <v>151633574</v>
      </c>
      <c r="DB104" s="1009">
        <f t="shared" si="98"/>
        <v>0</v>
      </c>
      <c r="DC104" s="1009">
        <f t="shared" si="98"/>
        <v>54136664</v>
      </c>
      <c r="DD104" s="1009">
        <f t="shared" si="98"/>
        <v>0</v>
      </c>
      <c r="DE104" s="1009">
        <f t="shared" si="98"/>
        <v>0</v>
      </c>
      <c r="DF104" s="1009">
        <f t="shared" si="98"/>
        <v>0</v>
      </c>
      <c r="DG104" s="1009">
        <f t="shared" si="98"/>
        <v>0</v>
      </c>
      <c r="DH104" s="1009">
        <f t="shared" si="98"/>
        <v>511814998</v>
      </c>
      <c r="DI104" s="1012">
        <f t="shared" si="70"/>
        <v>0.34213543179733519</v>
      </c>
      <c r="DJ104" s="1009">
        <f>SUM(DJ68:DJ103)</f>
        <v>1022725353</v>
      </c>
      <c r="DK104" s="1009">
        <f>SUM(DK68:DK103)</f>
        <v>0</v>
      </c>
      <c r="DL104" s="1009">
        <f>SUM(DL68:DL103)</f>
        <v>0</v>
      </c>
      <c r="DM104" s="1009"/>
      <c r="DN104" s="1009">
        <f t="shared" ref="DN104:ED104" si="99">SUM(DN68:DN103)</f>
        <v>10000000</v>
      </c>
      <c r="DO104" s="1009">
        <f t="shared" si="99"/>
        <v>72884540</v>
      </c>
      <c r="DP104" s="1009">
        <f t="shared" si="99"/>
        <v>158418996</v>
      </c>
      <c r="DQ104" s="1009">
        <f t="shared" si="99"/>
        <v>215665178</v>
      </c>
      <c r="DR104" s="1009">
        <f t="shared" si="99"/>
        <v>0</v>
      </c>
      <c r="DS104" s="1009">
        <f t="shared" si="99"/>
        <v>0</v>
      </c>
      <c r="DT104" s="1009">
        <f t="shared" si="99"/>
        <v>0</v>
      </c>
      <c r="DU104" s="1009">
        <f t="shared" si="99"/>
        <v>0</v>
      </c>
      <c r="DV104" s="1009">
        <f t="shared" si="99"/>
        <v>0</v>
      </c>
      <c r="DW104" s="1009">
        <f t="shared" si="99"/>
        <v>459230861</v>
      </c>
      <c r="DX104" s="1009">
        <f t="shared" si="99"/>
        <v>0</v>
      </c>
      <c r="DY104" s="1009">
        <f t="shared" si="99"/>
        <v>20863336</v>
      </c>
      <c r="DZ104" s="1009">
        <f t="shared" si="99"/>
        <v>0</v>
      </c>
      <c r="EA104" s="1009">
        <f t="shared" si="99"/>
        <v>0</v>
      </c>
      <c r="EB104" s="1009">
        <f t="shared" si="99"/>
        <v>0</v>
      </c>
      <c r="EC104" s="1009">
        <f t="shared" si="99"/>
        <v>0</v>
      </c>
      <c r="ED104" s="1037">
        <f t="shared" si="99"/>
        <v>85662442</v>
      </c>
    </row>
    <row r="105" spans="1:134" ht="6" customHeight="1" thickTop="1" x14ac:dyDescent="0.25">
      <c r="B105" s="1030"/>
      <c r="C105" s="1031"/>
      <c r="D105" s="1032"/>
      <c r="E105" s="998"/>
      <c r="F105" s="1033"/>
      <c r="G105" s="1033"/>
      <c r="H105" s="1033"/>
      <c r="I105" s="1033"/>
      <c r="J105" s="1033"/>
      <c r="K105" s="1076"/>
      <c r="L105" s="1076"/>
      <c r="M105" s="1076"/>
      <c r="N105" s="1076"/>
      <c r="O105" s="1076"/>
      <c r="P105" s="1076"/>
      <c r="Q105" s="1076"/>
      <c r="R105" s="1076"/>
      <c r="S105" s="1033"/>
      <c r="T105" s="1033"/>
      <c r="U105" s="1033"/>
      <c r="V105" s="1033"/>
      <c r="W105" s="1033"/>
      <c r="X105" s="1033"/>
      <c r="Y105" s="999"/>
      <c r="Z105" s="999"/>
      <c r="AA105" s="999"/>
      <c r="AB105" s="999"/>
      <c r="AC105" s="999"/>
      <c r="AD105" s="999"/>
      <c r="AE105" s="883"/>
      <c r="AF105" s="883"/>
      <c r="AG105" s="883"/>
      <c r="AH105" s="883"/>
      <c r="AI105" s="883"/>
      <c r="AJ105" s="883"/>
      <c r="AK105" s="883"/>
      <c r="AL105" s="883"/>
      <c r="AM105" s="883"/>
      <c r="AN105" s="883"/>
      <c r="AO105" s="883"/>
      <c r="AP105" s="883"/>
      <c r="AQ105" s="883"/>
      <c r="AR105" s="883"/>
      <c r="AS105" s="883"/>
      <c r="AT105" s="962"/>
      <c r="AU105" s="1000"/>
      <c r="AV105" s="150"/>
      <c r="AW105" s="150"/>
      <c r="AX105" s="150"/>
      <c r="AY105" s="150"/>
      <c r="AZ105" s="150"/>
      <c r="BA105" s="150"/>
      <c r="BB105" s="225"/>
      <c r="BC105" s="225"/>
      <c r="BD105" s="225"/>
      <c r="BE105" s="225"/>
      <c r="BF105" s="225"/>
      <c r="BG105" s="225"/>
      <c r="BH105" s="225"/>
      <c r="BI105" s="225"/>
      <c r="BJ105" s="225"/>
      <c r="BK105" s="225"/>
      <c r="BL105" s="225"/>
      <c r="BM105" s="225"/>
      <c r="BN105" s="225"/>
      <c r="BO105" s="225"/>
      <c r="BP105" s="225"/>
      <c r="BQ105" s="1006"/>
      <c r="BR105" s="150"/>
      <c r="BS105" s="150"/>
      <c r="BT105" s="150"/>
      <c r="BU105" s="150"/>
      <c r="BV105" s="150"/>
      <c r="BW105" s="150"/>
      <c r="BX105" s="227"/>
      <c r="BY105" s="227"/>
      <c r="BZ105" s="227"/>
      <c r="CA105" s="227"/>
      <c r="CB105" s="227"/>
      <c r="CC105" s="227"/>
      <c r="CD105" s="227"/>
      <c r="CE105" s="227"/>
      <c r="CF105" s="227"/>
      <c r="CG105" s="227"/>
      <c r="CH105" s="227"/>
      <c r="CI105" s="227"/>
      <c r="CJ105" s="227"/>
      <c r="CK105" s="227"/>
      <c r="CL105" s="227"/>
      <c r="CM105" s="1006"/>
      <c r="CN105" s="150"/>
      <c r="CO105" s="150"/>
      <c r="CP105" s="150"/>
      <c r="CQ105" s="150"/>
      <c r="CR105" s="150"/>
      <c r="CS105" s="150"/>
      <c r="CT105" s="225"/>
      <c r="CU105" s="225"/>
      <c r="CV105" s="225"/>
      <c r="CW105" s="225"/>
      <c r="CX105" s="225"/>
      <c r="CY105" s="225"/>
      <c r="CZ105" s="225"/>
      <c r="DA105" s="225"/>
      <c r="DB105" s="225"/>
      <c r="DC105" s="225"/>
      <c r="DD105" s="225"/>
      <c r="DE105" s="225"/>
      <c r="DF105" s="225"/>
      <c r="DG105" s="225"/>
      <c r="DH105" s="225"/>
      <c r="DI105" s="1006"/>
      <c r="DJ105" s="150"/>
      <c r="DK105" s="150"/>
      <c r="DL105" s="150"/>
      <c r="DM105" s="150"/>
      <c r="DN105" s="150"/>
      <c r="DO105" s="150"/>
      <c r="DP105" s="227"/>
      <c r="DQ105" s="227"/>
      <c r="DR105" s="227"/>
      <c r="DS105" s="227"/>
      <c r="DT105" s="227"/>
      <c r="DU105" s="227"/>
      <c r="DV105" s="227"/>
      <c r="DW105" s="227"/>
      <c r="DX105" s="227"/>
      <c r="DY105" s="227"/>
      <c r="DZ105" s="227"/>
      <c r="EA105" s="227"/>
      <c r="EB105" s="227"/>
      <c r="EC105" s="227"/>
      <c r="ED105" s="227"/>
    </row>
    <row r="106" spans="1:134" s="948" customFormat="1" ht="27.75" customHeight="1" x14ac:dyDescent="0.25">
      <c r="A106" s="1559" t="s">
        <v>3307</v>
      </c>
      <c r="B106" s="1019" t="s">
        <v>4366</v>
      </c>
      <c r="C106" s="1116" t="s">
        <v>4440</v>
      </c>
      <c r="D106" s="1019" t="s">
        <v>4631</v>
      </c>
      <c r="E106" s="1020">
        <v>301</v>
      </c>
      <c r="F106" s="1120" t="s">
        <v>4661</v>
      </c>
      <c r="G106" s="1399">
        <v>325000000</v>
      </c>
      <c r="H106" s="1061">
        <f t="shared" ref="H106:H128" si="100">+CN106</f>
        <v>59858617</v>
      </c>
      <c r="I106" s="1061">
        <f t="shared" ref="I106:I115" si="101">Y106-H106</f>
        <v>16141383</v>
      </c>
      <c r="J106" s="1120" t="s">
        <v>4904</v>
      </c>
      <c r="K106" s="1115" t="s">
        <v>4909</v>
      </c>
      <c r="L106" s="1115" t="s">
        <v>4916</v>
      </c>
      <c r="M106" s="1115">
        <v>13</v>
      </c>
      <c r="N106" s="1115">
        <v>37</v>
      </c>
      <c r="O106" s="1115">
        <v>5</v>
      </c>
      <c r="P106" s="1115">
        <v>30</v>
      </c>
      <c r="Q106" s="1115">
        <v>71</v>
      </c>
      <c r="R106" s="1115">
        <v>21</v>
      </c>
      <c r="S106" s="1120"/>
      <c r="T106" s="1120"/>
      <c r="U106" s="1120"/>
      <c r="V106" s="1120"/>
      <c r="W106" s="1120"/>
      <c r="X106" s="1120"/>
      <c r="Y106" s="1008">
        <f t="shared" ref="Y106:Y128" si="102">SUM(Z106:AS106)</f>
        <v>76000000</v>
      </c>
      <c r="Z106" s="1008"/>
      <c r="AA106" s="1008">
        <f>6985144-6985144</f>
        <v>0</v>
      </c>
      <c r="AB106" s="1008"/>
      <c r="AC106" s="1008"/>
      <c r="AD106" s="1008"/>
      <c r="AE106" s="1008"/>
      <c r="AF106" s="1008"/>
      <c r="AG106" s="1008"/>
      <c r="AH106" s="1008"/>
      <c r="AI106" s="1008"/>
      <c r="AJ106" s="1008"/>
      <c r="AK106" s="1008"/>
      <c r="AL106" s="1008"/>
      <c r="AM106" s="1008"/>
      <c r="AN106" s="1008"/>
      <c r="AO106" s="1008">
        <v>6985144</v>
      </c>
      <c r="AP106" s="1008">
        <v>69014856</v>
      </c>
      <c r="AQ106" s="1008"/>
      <c r="AR106" s="1008"/>
      <c r="AS106" s="1008"/>
      <c r="AU106" s="1011">
        <f t="shared" ref="AU106:AU175" si="103">+AV106/Y106</f>
        <v>0.90809021052631578</v>
      </c>
      <c r="AV106" s="1008">
        <f t="shared" ref="AV106:AV128" si="104">SUM(AW106:BP106)</f>
        <v>69014856</v>
      </c>
      <c r="AW106" s="1008"/>
      <c r="AX106" s="1008"/>
      <c r="AY106" s="1008"/>
      <c r="AZ106" s="1008"/>
      <c r="BA106" s="1008"/>
      <c r="BB106" s="1008"/>
      <c r="BC106" s="1008"/>
      <c r="BD106" s="1008"/>
      <c r="BE106" s="1008"/>
      <c r="BF106" s="1008"/>
      <c r="BG106" s="1008"/>
      <c r="BH106" s="1008"/>
      <c r="BI106" s="1008"/>
      <c r="BJ106" s="1008"/>
      <c r="BK106" s="1008"/>
      <c r="BL106" s="1008"/>
      <c r="BM106" s="1008">
        <f>+'[7]ENERO 2015'!$W$295</f>
        <v>69014856</v>
      </c>
      <c r="BN106" s="1008"/>
      <c r="BO106" s="1008"/>
      <c r="BP106" s="1008"/>
      <c r="BQ106" s="1011">
        <f t="shared" ref="BQ106:BQ175" si="105">1-AU106</f>
        <v>9.1909789473684222E-2</v>
      </c>
      <c r="BR106" s="1008">
        <f t="shared" ref="BR106:BR128" si="106">SUM(BS106:CL106)</f>
        <v>6985144</v>
      </c>
      <c r="BS106" s="1008">
        <f t="shared" ref="BS106:BS113" si="107">+Z106-AW106</f>
        <v>0</v>
      </c>
      <c r="BT106" s="1008">
        <f t="shared" ref="BT106:BT113" si="108">AA106-AX106</f>
        <v>0</v>
      </c>
      <c r="BU106" s="1008"/>
      <c r="BV106" s="1008">
        <f t="shared" ref="BV106:BV113" si="109">AC106-AZ106</f>
        <v>0</v>
      </c>
      <c r="BW106" s="1008"/>
      <c r="BX106" s="1008">
        <f t="shared" ref="BX106:BY111" si="110">+AE106-BB106</f>
        <v>0</v>
      </c>
      <c r="BY106" s="1008">
        <f t="shared" si="110"/>
        <v>0</v>
      </c>
      <c r="BZ106" s="1008"/>
      <c r="CA106" s="1008"/>
      <c r="CB106" s="1008"/>
      <c r="CC106" s="1008"/>
      <c r="CD106" s="1008">
        <f t="shared" ref="CD106:CI128" si="111">+AK106-BH106</f>
        <v>0</v>
      </c>
      <c r="CE106" s="1008">
        <f t="shared" si="111"/>
        <v>0</v>
      </c>
      <c r="CF106" s="1008">
        <f t="shared" si="111"/>
        <v>0</v>
      </c>
      <c r="CG106" s="1008">
        <f t="shared" si="111"/>
        <v>0</v>
      </c>
      <c r="CH106" s="1008">
        <f t="shared" si="111"/>
        <v>6985144</v>
      </c>
      <c r="CI106" s="1008">
        <f t="shared" si="111"/>
        <v>0</v>
      </c>
      <c r="CJ106" s="1008"/>
      <c r="CK106" s="1008"/>
      <c r="CL106" s="1008">
        <f t="shared" ref="CL106:CL113" si="112">+AS106-BP106</f>
        <v>0</v>
      </c>
      <c r="CM106" s="1011">
        <f t="shared" ref="CM106:CM176" si="113">+CN106/Y106</f>
        <v>0.78761338157894734</v>
      </c>
      <c r="CN106" s="1008">
        <f t="shared" ref="CN106:CN128" si="114">SUM(CO106:DH106)</f>
        <v>59858617</v>
      </c>
      <c r="CO106" s="1008"/>
      <c r="CP106" s="1008"/>
      <c r="CQ106" s="1008"/>
      <c r="CR106" s="1008"/>
      <c r="CS106" s="1008"/>
      <c r="CT106" s="1008"/>
      <c r="CU106" s="1008"/>
      <c r="CV106" s="1008"/>
      <c r="CW106" s="1008"/>
      <c r="CX106" s="1008"/>
      <c r="CY106" s="1008"/>
      <c r="CZ106" s="1008"/>
      <c r="DA106" s="1008"/>
      <c r="DB106" s="1008"/>
      <c r="DC106" s="1008"/>
      <c r="DD106" s="1008"/>
      <c r="DE106" s="1008">
        <f>+'[18]OCTUBRE 2015'!$H$1104</f>
        <v>59858617</v>
      </c>
      <c r="DF106" s="1008"/>
      <c r="DG106" s="1008"/>
      <c r="DH106" s="1008"/>
      <c r="DI106" s="1011">
        <f t="shared" ref="DI106:DI175" si="115">1-CM106</f>
        <v>0.21238661842105266</v>
      </c>
      <c r="DJ106" s="1008">
        <f t="shared" ref="DJ106:DJ128" si="116">SUM(DK106:ED106)</f>
        <v>16141383</v>
      </c>
      <c r="DK106" s="1008">
        <f>Z106-CO106</f>
        <v>0</v>
      </c>
      <c r="DL106" s="1008">
        <f>AA106-CP106</f>
        <v>0</v>
      </c>
      <c r="DM106" s="1008">
        <f>AB106-CQ106</f>
        <v>0</v>
      </c>
      <c r="DN106" s="1008">
        <f>AC106-CR106</f>
        <v>0</v>
      </c>
      <c r="DO106" s="1008"/>
      <c r="DP106" s="1008">
        <f t="shared" ref="DP106:DQ111" si="117">AE106-CT106</f>
        <v>0</v>
      </c>
      <c r="DQ106" s="1008">
        <f t="shared" si="117"/>
        <v>0</v>
      </c>
      <c r="DR106" s="1008"/>
      <c r="DS106" s="1008">
        <f t="shared" ref="DS106:DT111" si="118">+AH106-CW106</f>
        <v>0</v>
      </c>
      <c r="DT106" s="1008">
        <f t="shared" si="118"/>
        <v>0</v>
      </c>
      <c r="DU106" s="1008"/>
      <c r="DV106" s="1008">
        <f t="shared" ref="DV106:DX111" si="119">AK106-CZ106</f>
        <v>0</v>
      </c>
      <c r="DW106" s="1008">
        <f t="shared" si="119"/>
        <v>0</v>
      </c>
      <c r="DX106" s="1008">
        <f t="shared" si="119"/>
        <v>0</v>
      </c>
      <c r="DY106" s="1008">
        <f t="shared" ref="DY106:EB111" si="120">+AN106-DC106</f>
        <v>0</v>
      </c>
      <c r="DZ106" s="1008">
        <f t="shared" si="120"/>
        <v>6985144</v>
      </c>
      <c r="EA106" s="1008">
        <f t="shared" si="120"/>
        <v>9156239</v>
      </c>
      <c r="EB106" s="1008">
        <f t="shared" si="120"/>
        <v>0</v>
      </c>
      <c r="EC106" s="1008"/>
      <c r="ED106" s="1008">
        <f t="shared" ref="ED106:ED113" si="121">+AS106-DH106</f>
        <v>0</v>
      </c>
    </row>
    <row r="107" spans="1:134" s="948" customFormat="1" ht="33.75" customHeight="1" x14ac:dyDescent="0.25">
      <c r="A107" s="1559"/>
      <c r="B107" s="1019"/>
      <c r="C107" s="1116" t="s">
        <v>4461</v>
      </c>
      <c r="D107" s="1019" t="s">
        <v>4632</v>
      </c>
      <c r="E107" s="1020">
        <v>301</v>
      </c>
      <c r="F107" s="1120" t="s">
        <v>4661</v>
      </c>
      <c r="G107" s="1400"/>
      <c r="H107" s="1061">
        <f t="shared" si="100"/>
        <v>52739455</v>
      </c>
      <c r="I107" s="1061">
        <f t="shared" si="101"/>
        <v>2260545</v>
      </c>
      <c r="J107" s="1399" t="s">
        <v>4905</v>
      </c>
      <c r="K107" s="1283" t="s">
        <v>4910</v>
      </c>
      <c r="L107" s="1283" t="s">
        <v>4917</v>
      </c>
      <c r="M107" s="1115">
        <v>24</v>
      </c>
      <c r="N107" s="1115">
        <v>34</v>
      </c>
      <c r="O107" s="1115">
        <v>8</v>
      </c>
      <c r="P107" s="1115">
        <v>36</v>
      </c>
      <c r="Q107" s="1115">
        <v>70</v>
      </c>
      <c r="R107" s="1115">
        <v>25</v>
      </c>
      <c r="S107" s="1120"/>
      <c r="T107" s="1120"/>
      <c r="U107" s="1120"/>
      <c r="V107" s="1120"/>
      <c r="W107" s="1120"/>
      <c r="X107" s="1120"/>
      <c r="Y107" s="1008">
        <f t="shared" si="102"/>
        <v>55000000</v>
      </c>
      <c r="Z107" s="1008"/>
      <c r="AA107" s="1008"/>
      <c r="AB107" s="1008"/>
      <c r="AC107" s="1008"/>
      <c r="AD107" s="1008"/>
      <c r="AE107" s="1008"/>
      <c r="AF107" s="1008"/>
      <c r="AG107" s="1008"/>
      <c r="AH107" s="1008"/>
      <c r="AI107" s="1008"/>
      <c r="AJ107" s="1008"/>
      <c r="AK107" s="1008"/>
      <c r="AL107" s="1008"/>
      <c r="AM107" s="1008"/>
      <c r="AN107" s="1008"/>
      <c r="AO107" s="1008"/>
      <c r="AP107" s="1008">
        <v>55000000</v>
      </c>
      <c r="AQ107" s="1008"/>
      <c r="AR107" s="1008"/>
      <c r="AS107" s="1008"/>
      <c r="AU107" s="1011">
        <f t="shared" si="103"/>
        <v>1</v>
      </c>
      <c r="AV107" s="1008">
        <f t="shared" si="104"/>
        <v>55000000</v>
      </c>
      <c r="AW107" s="1008"/>
      <c r="AX107" s="1008"/>
      <c r="AY107" s="1008"/>
      <c r="AZ107" s="1008"/>
      <c r="BA107" s="1008"/>
      <c r="BB107" s="1008"/>
      <c r="BC107" s="1008"/>
      <c r="BD107" s="1008"/>
      <c r="BE107" s="1008"/>
      <c r="BF107" s="1008"/>
      <c r="BG107" s="1008"/>
      <c r="BH107" s="1008"/>
      <c r="BI107" s="1008"/>
      <c r="BJ107" s="1008"/>
      <c r="BK107" s="1008"/>
      <c r="BL107" s="1008"/>
      <c r="BM107" s="1008">
        <f>+'[7]ENERO 2015'!$W$301</f>
        <v>55000000</v>
      </c>
      <c r="BN107" s="1008"/>
      <c r="BO107" s="1008"/>
      <c r="BP107" s="1008"/>
      <c r="BQ107" s="1011">
        <f t="shared" si="105"/>
        <v>0</v>
      </c>
      <c r="BR107" s="1008">
        <f t="shared" si="106"/>
        <v>0</v>
      </c>
      <c r="BS107" s="1008">
        <f t="shared" si="107"/>
        <v>0</v>
      </c>
      <c r="BT107" s="1008">
        <f t="shared" si="108"/>
        <v>0</v>
      </c>
      <c r="BU107" s="1008"/>
      <c r="BV107" s="1008">
        <f t="shared" si="109"/>
        <v>0</v>
      </c>
      <c r="BW107" s="1008"/>
      <c r="BX107" s="1008">
        <f t="shared" si="110"/>
        <v>0</v>
      </c>
      <c r="BY107" s="1008">
        <f t="shared" si="110"/>
        <v>0</v>
      </c>
      <c r="BZ107" s="1008"/>
      <c r="CA107" s="1008"/>
      <c r="CB107" s="1008"/>
      <c r="CC107" s="1008"/>
      <c r="CD107" s="1008">
        <f t="shared" si="111"/>
        <v>0</v>
      </c>
      <c r="CE107" s="1008">
        <f t="shared" si="111"/>
        <v>0</v>
      </c>
      <c r="CF107" s="1008">
        <f t="shared" si="111"/>
        <v>0</v>
      </c>
      <c r="CG107" s="1008">
        <f t="shared" si="111"/>
        <v>0</v>
      </c>
      <c r="CH107" s="1008">
        <f t="shared" si="111"/>
        <v>0</v>
      </c>
      <c r="CI107" s="1008">
        <f t="shared" si="111"/>
        <v>0</v>
      </c>
      <c r="CJ107" s="1008"/>
      <c r="CK107" s="1008"/>
      <c r="CL107" s="1008">
        <f t="shared" si="112"/>
        <v>0</v>
      </c>
      <c r="CM107" s="1011">
        <f t="shared" si="113"/>
        <v>0.95889918181818179</v>
      </c>
      <c r="CN107" s="1008">
        <f t="shared" si="114"/>
        <v>52739455</v>
      </c>
      <c r="CO107" s="1008"/>
      <c r="CP107" s="1008"/>
      <c r="CQ107" s="1008"/>
      <c r="CR107" s="1008"/>
      <c r="CS107" s="1008"/>
      <c r="CT107" s="1008"/>
      <c r="CU107" s="1008"/>
      <c r="CV107" s="1008"/>
      <c r="CW107" s="1008"/>
      <c r="CX107" s="1008"/>
      <c r="CY107" s="1008"/>
      <c r="CZ107" s="1008"/>
      <c r="DA107" s="1008"/>
      <c r="DB107" s="1008"/>
      <c r="DC107" s="1008"/>
      <c r="DD107" s="1008"/>
      <c r="DE107" s="1008">
        <f>+'[17]SEPTIEMBRE 2015'!$H$978</f>
        <v>52739455</v>
      </c>
      <c r="DF107" s="1008"/>
      <c r="DG107" s="1008"/>
      <c r="DH107" s="1008"/>
      <c r="DI107" s="1011">
        <f t="shared" si="115"/>
        <v>4.1100818181818211E-2</v>
      </c>
      <c r="DJ107" s="1008">
        <f t="shared" si="116"/>
        <v>2260545</v>
      </c>
      <c r="DK107" s="1008">
        <f t="shared" ref="DK107:DK113" si="122">Z107-CO107</f>
        <v>0</v>
      </c>
      <c r="DL107" s="1008"/>
      <c r="DM107" s="1008"/>
      <c r="DN107" s="1008">
        <f>AC107-CR107</f>
        <v>0</v>
      </c>
      <c r="DO107" s="1008"/>
      <c r="DP107" s="1008">
        <f t="shared" si="117"/>
        <v>0</v>
      </c>
      <c r="DQ107" s="1008">
        <f t="shared" si="117"/>
        <v>0</v>
      </c>
      <c r="DR107" s="1008"/>
      <c r="DS107" s="1008">
        <f t="shared" si="118"/>
        <v>0</v>
      </c>
      <c r="DT107" s="1008">
        <f t="shared" si="118"/>
        <v>0</v>
      </c>
      <c r="DU107" s="1008"/>
      <c r="DV107" s="1008">
        <f t="shared" si="119"/>
        <v>0</v>
      </c>
      <c r="DW107" s="1008">
        <f t="shared" si="119"/>
        <v>0</v>
      </c>
      <c r="DX107" s="1008">
        <f t="shared" si="119"/>
        <v>0</v>
      </c>
      <c r="DY107" s="1008">
        <f t="shared" si="120"/>
        <v>0</v>
      </c>
      <c r="DZ107" s="1008">
        <f t="shared" si="120"/>
        <v>0</v>
      </c>
      <c r="EA107" s="1008">
        <f t="shared" si="120"/>
        <v>2260545</v>
      </c>
      <c r="EB107" s="1008">
        <f t="shared" si="120"/>
        <v>0</v>
      </c>
      <c r="EC107" s="1008"/>
      <c r="ED107" s="1008">
        <f t="shared" si="121"/>
        <v>0</v>
      </c>
    </row>
    <row r="108" spans="1:134" s="948" customFormat="1" ht="35.25" customHeight="1" x14ac:dyDescent="0.25">
      <c r="A108" s="1559"/>
      <c r="B108" s="1019"/>
      <c r="C108" s="1116" t="s">
        <v>4462</v>
      </c>
      <c r="D108" s="1019" t="s">
        <v>4633</v>
      </c>
      <c r="E108" s="1020">
        <v>301</v>
      </c>
      <c r="F108" s="1120" t="s">
        <v>4661</v>
      </c>
      <c r="G108" s="1400"/>
      <c r="H108" s="1061">
        <f t="shared" si="100"/>
        <v>57332905</v>
      </c>
      <c r="I108" s="1061">
        <f t="shared" si="101"/>
        <v>2667095</v>
      </c>
      <c r="J108" s="1401"/>
      <c r="K108" s="1284"/>
      <c r="L108" s="1284"/>
      <c r="M108" s="1115">
        <v>44</v>
      </c>
      <c r="N108" s="1115">
        <v>23</v>
      </c>
      <c r="O108" s="1115">
        <v>10</v>
      </c>
      <c r="P108" s="1115">
        <v>44</v>
      </c>
      <c r="Q108" s="1115">
        <v>52</v>
      </c>
      <c r="R108" s="1115">
        <v>23</v>
      </c>
      <c r="S108" s="1120"/>
      <c r="T108" s="1120"/>
      <c r="U108" s="1120"/>
      <c r="V108" s="1120"/>
      <c r="W108" s="1120"/>
      <c r="X108" s="1120"/>
      <c r="Y108" s="1008">
        <f t="shared" si="102"/>
        <v>60000000</v>
      </c>
      <c r="Z108" s="1008"/>
      <c r="AA108" s="1008"/>
      <c r="AB108" s="1008"/>
      <c r="AC108" s="1008"/>
      <c r="AD108" s="1008"/>
      <c r="AE108" s="1008"/>
      <c r="AF108" s="1008"/>
      <c r="AG108" s="1008"/>
      <c r="AH108" s="1008"/>
      <c r="AI108" s="1008"/>
      <c r="AJ108" s="1008"/>
      <c r="AK108" s="1008"/>
      <c r="AL108" s="1008"/>
      <c r="AM108" s="1008"/>
      <c r="AN108" s="1008"/>
      <c r="AO108" s="1008"/>
      <c r="AP108" s="1008">
        <v>60000000</v>
      </c>
      <c r="AQ108" s="1008"/>
      <c r="AR108" s="1008"/>
      <c r="AS108" s="1008"/>
      <c r="AU108" s="1011">
        <f t="shared" si="103"/>
        <v>1</v>
      </c>
      <c r="AV108" s="1008">
        <f t="shared" si="104"/>
        <v>60000000</v>
      </c>
      <c r="AW108" s="1008"/>
      <c r="AX108" s="1008"/>
      <c r="AY108" s="1008"/>
      <c r="AZ108" s="1008"/>
      <c r="BA108" s="1008"/>
      <c r="BB108" s="1008"/>
      <c r="BC108" s="1008"/>
      <c r="BD108" s="1008"/>
      <c r="BE108" s="1008"/>
      <c r="BF108" s="1008"/>
      <c r="BG108" s="1008"/>
      <c r="BH108" s="1008"/>
      <c r="BI108" s="1008"/>
      <c r="BJ108" s="1008"/>
      <c r="BK108" s="1008"/>
      <c r="BL108" s="1008"/>
      <c r="BM108" s="1008">
        <f>+'[7]ENERO 2015'!$G$305</f>
        <v>60000000</v>
      </c>
      <c r="BN108" s="1008"/>
      <c r="BO108" s="1008"/>
      <c r="BP108" s="1008"/>
      <c r="BQ108" s="1011">
        <f t="shared" si="105"/>
        <v>0</v>
      </c>
      <c r="BR108" s="1008">
        <f t="shared" si="106"/>
        <v>0</v>
      </c>
      <c r="BS108" s="1008">
        <f t="shared" si="107"/>
        <v>0</v>
      </c>
      <c r="BT108" s="1008">
        <f t="shared" si="108"/>
        <v>0</v>
      </c>
      <c r="BU108" s="1008"/>
      <c r="BV108" s="1008">
        <f t="shared" si="109"/>
        <v>0</v>
      </c>
      <c r="BW108" s="1008"/>
      <c r="BX108" s="1008">
        <f t="shared" si="110"/>
        <v>0</v>
      </c>
      <c r="BY108" s="1008">
        <f t="shared" si="110"/>
        <v>0</v>
      </c>
      <c r="BZ108" s="1008"/>
      <c r="CA108" s="1008"/>
      <c r="CB108" s="1008"/>
      <c r="CC108" s="1008"/>
      <c r="CD108" s="1008">
        <f t="shared" si="111"/>
        <v>0</v>
      </c>
      <c r="CE108" s="1008">
        <f t="shared" si="111"/>
        <v>0</v>
      </c>
      <c r="CF108" s="1008">
        <f t="shared" si="111"/>
        <v>0</v>
      </c>
      <c r="CG108" s="1008">
        <f t="shared" si="111"/>
        <v>0</v>
      </c>
      <c r="CH108" s="1008">
        <f t="shared" si="111"/>
        <v>0</v>
      </c>
      <c r="CI108" s="1008">
        <f t="shared" si="111"/>
        <v>0</v>
      </c>
      <c r="CJ108" s="1008"/>
      <c r="CK108" s="1008"/>
      <c r="CL108" s="1008">
        <f t="shared" si="112"/>
        <v>0</v>
      </c>
      <c r="CM108" s="1011">
        <f t="shared" si="113"/>
        <v>0.95554841666666668</v>
      </c>
      <c r="CN108" s="1008">
        <f t="shared" si="114"/>
        <v>57332905</v>
      </c>
      <c r="CO108" s="1008"/>
      <c r="CP108" s="1008"/>
      <c r="CQ108" s="1008"/>
      <c r="CR108" s="1008"/>
      <c r="CS108" s="1008"/>
      <c r="CT108" s="1008"/>
      <c r="CU108" s="1008"/>
      <c r="CV108" s="1008"/>
      <c r="CW108" s="1008"/>
      <c r="CX108" s="1008"/>
      <c r="CY108" s="1008"/>
      <c r="CZ108" s="1008"/>
      <c r="DA108" s="1008"/>
      <c r="DB108" s="1008"/>
      <c r="DC108" s="1008"/>
      <c r="DD108" s="1008"/>
      <c r="DE108" s="1008">
        <f>+'[17]SEPTIEMBRE 2015'!$H$992</f>
        <v>57332905</v>
      </c>
      <c r="DF108" s="1008"/>
      <c r="DG108" s="1008"/>
      <c r="DH108" s="1008"/>
      <c r="DI108" s="1011">
        <f t="shared" si="115"/>
        <v>4.4451583333333322E-2</v>
      </c>
      <c r="DJ108" s="1008">
        <f t="shared" si="116"/>
        <v>2667095</v>
      </c>
      <c r="DK108" s="1008">
        <f t="shared" si="122"/>
        <v>0</v>
      </c>
      <c r="DL108" s="1008"/>
      <c r="DM108" s="1008"/>
      <c r="DN108" s="1008">
        <f>AC108-CR108</f>
        <v>0</v>
      </c>
      <c r="DO108" s="1008"/>
      <c r="DP108" s="1008">
        <f t="shared" si="117"/>
        <v>0</v>
      </c>
      <c r="DQ108" s="1008">
        <f t="shared" si="117"/>
        <v>0</v>
      </c>
      <c r="DR108" s="1008"/>
      <c r="DS108" s="1008">
        <f t="shared" si="118"/>
        <v>0</v>
      </c>
      <c r="DT108" s="1008">
        <f t="shared" si="118"/>
        <v>0</v>
      </c>
      <c r="DU108" s="1008"/>
      <c r="DV108" s="1008">
        <f t="shared" si="119"/>
        <v>0</v>
      </c>
      <c r="DW108" s="1008">
        <f t="shared" si="119"/>
        <v>0</v>
      </c>
      <c r="DX108" s="1008">
        <f t="shared" si="119"/>
        <v>0</v>
      </c>
      <c r="DY108" s="1008">
        <f t="shared" si="120"/>
        <v>0</v>
      </c>
      <c r="DZ108" s="1008">
        <f t="shared" si="120"/>
        <v>0</v>
      </c>
      <c r="EA108" s="1008">
        <f t="shared" si="120"/>
        <v>2667095</v>
      </c>
      <c r="EB108" s="1008">
        <f t="shared" si="120"/>
        <v>0</v>
      </c>
      <c r="EC108" s="1008"/>
      <c r="ED108" s="1008">
        <f t="shared" si="121"/>
        <v>0</v>
      </c>
    </row>
    <row r="109" spans="1:134" ht="44.25" customHeight="1" x14ac:dyDescent="0.25">
      <c r="A109" s="1559"/>
      <c r="B109" s="1019"/>
      <c r="C109" s="1116" t="s">
        <v>4463</v>
      </c>
      <c r="D109" s="1019" t="s">
        <v>4441</v>
      </c>
      <c r="E109" s="1020">
        <v>301</v>
      </c>
      <c r="F109" s="1120" t="s">
        <v>4738</v>
      </c>
      <c r="G109" s="1400"/>
      <c r="H109" s="1061">
        <f t="shared" si="100"/>
        <v>21234417</v>
      </c>
      <c r="I109" s="1061">
        <f t="shared" si="101"/>
        <v>12765583</v>
      </c>
      <c r="J109" s="1120" t="s">
        <v>4906</v>
      </c>
      <c r="K109" s="1115" t="s">
        <v>4911</v>
      </c>
      <c r="L109" s="1115" t="s">
        <v>4918</v>
      </c>
      <c r="M109" s="1115">
        <v>0</v>
      </c>
      <c r="N109" s="1115">
        <v>0</v>
      </c>
      <c r="O109" s="1115">
        <v>0</v>
      </c>
      <c r="P109" s="1115">
        <v>41</v>
      </c>
      <c r="Q109" s="1115">
        <v>10</v>
      </c>
      <c r="R109" s="1115">
        <v>4</v>
      </c>
      <c r="S109" s="1120"/>
      <c r="T109" s="1120"/>
      <c r="U109" s="1120"/>
      <c r="V109" s="1120"/>
      <c r="W109" s="1120"/>
      <c r="X109" s="1120"/>
      <c r="Y109" s="1008">
        <f t="shared" si="102"/>
        <v>34000000</v>
      </c>
      <c r="Z109" s="1008"/>
      <c r="AA109" s="1008"/>
      <c r="AB109" s="1008"/>
      <c r="AC109" s="1008"/>
      <c r="AD109" s="1008"/>
      <c r="AE109" s="1008"/>
      <c r="AF109" s="1008"/>
      <c r="AG109" s="1008"/>
      <c r="AH109" s="1008"/>
      <c r="AI109" s="1008"/>
      <c r="AJ109" s="1008"/>
      <c r="AK109" s="1008"/>
      <c r="AL109" s="1008"/>
      <c r="AM109" s="1008"/>
      <c r="AN109" s="1008"/>
      <c r="AO109" s="1008"/>
      <c r="AP109" s="1008"/>
      <c r="AQ109" s="1008"/>
      <c r="AR109" s="1008"/>
      <c r="AS109" s="1008">
        <f>6000000+15000000+4000000+9000000</f>
        <v>34000000</v>
      </c>
      <c r="AU109" s="1011">
        <f t="shared" si="103"/>
        <v>0.8529411764705882</v>
      </c>
      <c r="AV109" s="1008">
        <f t="shared" si="104"/>
        <v>29000000</v>
      </c>
      <c r="AW109" s="1008"/>
      <c r="AX109" s="1008"/>
      <c r="AY109" s="1008"/>
      <c r="AZ109" s="1008"/>
      <c r="BA109" s="1008"/>
      <c r="BB109" s="1008"/>
      <c r="BC109" s="1008"/>
      <c r="BD109" s="1008"/>
      <c r="BE109" s="1008"/>
      <c r="BF109" s="1008"/>
      <c r="BG109" s="1008"/>
      <c r="BH109" s="1008"/>
      <c r="BI109" s="1008"/>
      <c r="BJ109" s="1008"/>
      <c r="BK109" s="1008"/>
      <c r="BL109" s="1008"/>
      <c r="BM109" s="1008"/>
      <c r="BN109" s="1008"/>
      <c r="BO109" s="1008"/>
      <c r="BP109" s="1008">
        <f>+'[15]JULIO 2015'!$AD$771</f>
        <v>29000000</v>
      </c>
      <c r="BQ109" s="1011">
        <f t="shared" si="105"/>
        <v>0.1470588235294118</v>
      </c>
      <c r="BR109" s="1008">
        <f t="shared" si="106"/>
        <v>5000000</v>
      </c>
      <c r="BS109" s="1008">
        <f t="shared" si="107"/>
        <v>0</v>
      </c>
      <c r="BT109" s="1008">
        <f t="shared" si="108"/>
        <v>0</v>
      </c>
      <c r="BU109" s="1008"/>
      <c r="BV109" s="1008">
        <f t="shared" si="109"/>
        <v>0</v>
      </c>
      <c r="BW109" s="1008"/>
      <c r="BX109" s="1008">
        <f t="shared" si="110"/>
        <v>0</v>
      </c>
      <c r="BY109" s="1008">
        <f t="shared" si="110"/>
        <v>0</v>
      </c>
      <c r="BZ109" s="1008"/>
      <c r="CA109" s="1008">
        <f t="shared" ref="CA109:CC111" si="123">+AH109-BE109</f>
        <v>0</v>
      </c>
      <c r="CB109" s="1008">
        <f t="shared" si="123"/>
        <v>0</v>
      </c>
      <c r="CC109" s="1008">
        <f t="shared" si="123"/>
        <v>0</v>
      </c>
      <c r="CD109" s="1008">
        <f t="shared" si="111"/>
        <v>0</v>
      </c>
      <c r="CE109" s="1008">
        <f t="shared" si="111"/>
        <v>0</v>
      </c>
      <c r="CF109" s="1008">
        <f t="shared" si="111"/>
        <v>0</v>
      </c>
      <c r="CG109" s="1008">
        <f t="shared" si="111"/>
        <v>0</v>
      </c>
      <c r="CH109" s="1008">
        <f t="shared" si="111"/>
        <v>0</v>
      </c>
      <c r="CI109" s="1008">
        <f t="shared" si="111"/>
        <v>0</v>
      </c>
      <c r="CJ109" s="1008"/>
      <c r="CK109" s="1008"/>
      <c r="CL109" s="1008">
        <f t="shared" si="112"/>
        <v>5000000</v>
      </c>
      <c r="CM109" s="1011">
        <f t="shared" si="113"/>
        <v>0.62454167647058823</v>
      </c>
      <c r="CN109" s="1008">
        <f t="shared" si="114"/>
        <v>21234417</v>
      </c>
      <c r="CO109" s="1008"/>
      <c r="CP109" s="1008"/>
      <c r="CQ109" s="1008"/>
      <c r="CR109" s="1008"/>
      <c r="CS109" s="1008"/>
      <c r="CT109" s="1008"/>
      <c r="CU109" s="1008"/>
      <c r="CV109" s="1008"/>
      <c r="CW109" s="1008"/>
      <c r="CX109" s="1008"/>
      <c r="CY109" s="1008"/>
      <c r="CZ109" s="1008"/>
      <c r="DA109" s="1008"/>
      <c r="DB109" s="1008"/>
      <c r="DC109" s="1008"/>
      <c r="DD109" s="1008"/>
      <c r="DE109" s="1008"/>
      <c r="DF109" s="1008"/>
      <c r="DG109" s="1008"/>
      <c r="DH109" s="1008">
        <f>+'[17]SEPTIEMBRE 2015'!$H$1006</f>
        <v>21234417</v>
      </c>
      <c r="DI109" s="1011">
        <f t="shared" si="115"/>
        <v>0.37545832352941177</v>
      </c>
      <c r="DJ109" s="1008">
        <f t="shared" si="116"/>
        <v>12765583</v>
      </c>
      <c r="DK109" s="1008">
        <f t="shared" si="122"/>
        <v>0</v>
      </c>
      <c r="DL109" s="1008"/>
      <c r="DM109" s="1008"/>
      <c r="DN109" s="1008">
        <f>AC109-CR109</f>
        <v>0</v>
      </c>
      <c r="DO109" s="1008"/>
      <c r="DP109" s="1008">
        <f t="shared" si="117"/>
        <v>0</v>
      </c>
      <c r="DQ109" s="1008">
        <f t="shared" si="117"/>
        <v>0</v>
      </c>
      <c r="DR109" s="1008"/>
      <c r="DS109" s="1008">
        <f t="shared" si="118"/>
        <v>0</v>
      </c>
      <c r="DT109" s="1008">
        <f t="shared" si="118"/>
        <v>0</v>
      </c>
      <c r="DU109" s="1008"/>
      <c r="DV109" s="1008">
        <f t="shared" si="119"/>
        <v>0</v>
      </c>
      <c r="DW109" s="1008">
        <f t="shared" si="119"/>
        <v>0</v>
      </c>
      <c r="DX109" s="1008">
        <f t="shared" si="119"/>
        <v>0</v>
      </c>
      <c r="DY109" s="1008">
        <f t="shared" si="120"/>
        <v>0</v>
      </c>
      <c r="DZ109" s="1008">
        <f t="shared" si="120"/>
        <v>0</v>
      </c>
      <c r="EA109" s="1008">
        <f t="shared" si="120"/>
        <v>0</v>
      </c>
      <c r="EB109" s="1008">
        <f t="shared" si="120"/>
        <v>0</v>
      </c>
      <c r="EC109" s="1008"/>
      <c r="ED109" s="1008">
        <f t="shared" si="121"/>
        <v>12765583</v>
      </c>
    </row>
    <row r="110" spans="1:134" ht="48.75" customHeight="1" x14ac:dyDescent="0.25">
      <c r="A110" s="1559"/>
      <c r="B110" s="1019"/>
      <c r="C110" s="1116" t="s">
        <v>4464</v>
      </c>
      <c r="D110" s="1019" t="s">
        <v>4458</v>
      </c>
      <c r="E110" s="1020">
        <v>301</v>
      </c>
      <c r="F110" s="1120" t="s">
        <v>4661</v>
      </c>
      <c r="G110" s="1400"/>
      <c r="H110" s="1061">
        <f t="shared" si="100"/>
        <v>0</v>
      </c>
      <c r="I110" s="1061">
        <f t="shared" si="101"/>
        <v>24000000</v>
      </c>
      <c r="J110" s="1120" t="s">
        <v>4907</v>
      </c>
      <c r="K110" s="1115" t="s">
        <v>4912</v>
      </c>
      <c r="L110" s="1115" t="s">
        <v>4919</v>
      </c>
      <c r="M110" s="1115">
        <v>0</v>
      </c>
      <c r="N110" s="1115">
        <v>0</v>
      </c>
      <c r="O110" s="1115">
        <v>0</v>
      </c>
      <c r="P110" s="1115">
        <v>0</v>
      </c>
      <c r="Q110" s="1115">
        <v>0</v>
      </c>
      <c r="R110" s="1115">
        <v>0</v>
      </c>
      <c r="S110" s="1120"/>
      <c r="T110" s="1120"/>
      <c r="U110" s="1120"/>
      <c r="V110" s="1120"/>
      <c r="W110" s="1120"/>
      <c r="X110" s="1120"/>
      <c r="Y110" s="1008">
        <f t="shared" si="102"/>
        <v>24000000</v>
      </c>
      <c r="Z110" s="1008"/>
      <c r="AA110" s="1008"/>
      <c r="AB110" s="1008"/>
      <c r="AC110" s="1008"/>
      <c r="AD110" s="1008"/>
      <c r="AE110" s="1008"/>
      <c r="AF110" s="1008"/>
      <c r="AG110" s="1008"/>
      <c r="AH110" s="1008"/>
      <c r="AI110" s="1008"/>
      <c r="AJ110" s="1008"/>
      <c r="AK110" s="1008"/>
      <c r="AL110" s="1008"/>
      <c r="AM110" s="1008"/>
      <c r="AN110" s="1008"/>
      <c r="AO110" s="1008"/>
      <c r="AP110" s="1008">
        <v>24000000</v>
      </c>
      <c r="AQ110" s="1008"/>
      <c r="AR110" s="1008"/>
      <c r="AS110" s="1008"/>
      <c r="AU110" s="1011">
        <f t="shared" si="103"/>
        <v>0</v>
      </c>
      <c r="AV110" s="1008">
        <f t="shared" si="104"/>
        <v>0</v>
      </c>
      <c r="AW110" s="1008"/>
      <c r="AX110" s="1008"/>
      <c r="AY110" s="1008"/>
      <c r="AZ110" s="1008"/>
      <c r="BA110" s="1008"/>
      <c r="BB110" s="1008"/>
      <c r="BC110" s="1008"/>
      <c r="BD110" s="1008"/>
      <c r="BE110" s="1008"/>
      <c r="BF110" s="1008"/>
      <c r="BG110" s="1008"/>
      <c r="BH110" s="1008"/>
      <c r="BI110" s="1008"/>
      <c r="BJ110" s="1008"/>
      <c r="BK110" s="1008"/>
      <c r="BL110" s="1008"/>
      <c r="BM110" s="1008"/>
      <c r="BN110" s="1008"/>
      <c r="BO110" s="1008"/>
      <c r="BP110" s="1008"/>
      <c r="BQ110" s="1011">
        <f t="shared" si="105"/>
        <v>1</v>
      </c>
      <c r="BR110" s="1008">
        <f t="shared" si="106"/>
        <v>24000000</v>
      </c>
      <c r="BS110" s="1008">
        <f t="shared" si="107"/>
        <v>0</v>
      </c>
      <c r="BT110" s="1008">
        <f t="shared" si="108"/>
        <v>0</v>
      </c>
      <c r="BU110" s="1008"/>
      <c r="BV110" s="1008">
        <f t="shared" si="109"/>
        <v>0</v>
      </c>
      <c r="BW110" s="1008"/>
      <c r="BX110" s="1008">
        <f t="shared" si="110"/>
        <v>0</v>
      </c>
      <c r="BY110" s="1008">
        <f t="shared" si="110"/>
        <v>0</v>
      </c>
      <c r="BZ110" s="1008"/>
      <c r="CA110" s="1008">
        <f t="shared" si="123"/>
        <v>0</v>
      </c>
      <c r="CB110" s="1008">
        <f t="shared" si="123"/>
        <v>0</v>
      </c>
      <c r="CC110" s="1008">
        <f t="shared" si="123"/>
        <v>0</v>
      </c>
      <c r="CD110" s="1008">
        <f t="shared" si="111"/>
        <v>0</v>
      </c>
      <c r="CE110" s="1008">
        <f t="shared" si="111"/>
        <v>0</v>
      </c>
      <c r="CF110" s="1008">
        <f t="shared" si="111"/>
        <v>0</v>
      </c>
      <c r="CG110" s="1008">
        <f t="shared" si="111"/>
        <v>0</v>
      </c>
      <c r="CH110" s="1008">
        <f t="shared" si="111"/>
        <v>0</v>
      </c>
      <c r="CI110" s="1008">
        <f t="shared" si="111"/>
        <v>24000000</v>
      </c>
      <c r="CJ110" s="1008"/>
      <c r="CK110" s="1008"/>
      <c r="CL110" s="1008">
        <f t="shared" si="112"/>
        <v>0</v>
      </c>
      <c r="CM110" s="1011">
        <f t="shared" si="113"/>
        <v>0</v>
      </c>
      <c r="CN110" s="1008">
        <f t="shared" si="114"/>
        <v>0</v>
      </c>
      <c r="CO110" s="1008"/>
      <c r="CP110" s="1008"/>
      <c r="CQ110" s="1008"/>
      <c r="CR110" s="1008"/>
      <c r="CS110" s="1008"/>
      <c r="CT110" s="1008"/>
      <c r="CU110" s="1008"/>
      <c r="CV110" s="1008"/>
      <c r="CW110" s="1008"/>
      <c r="CX110" s="1008"/>
      <c r="CY110" s="1008"/>
      <c r="CZ110" s="1008"/>
      <c r="DA110" s="1008"/>
      <c r="DB110" s="1008"/>
      <c r="DC110" s="1008"/>
      <c r="DD110" s="1008"/>
      <c r="DE110" s="1008"/>
      <c r="DF110" s="1008"/>
      <c r="DG110" s="1008"/>
      <c r="DH110" s="1008"/>
      <c r="DI110" s="1011">
        <f t="shared" si="115"/>
        <v>1</v>
      </c>
      <c r="DJ110" s="1008">
        <f t="shared" si="116"/>
        <v>24000000</v>
      </c>
      <c r="DK110" s="1008">
        <f t="shared" si="122"/>
        <v>0</v>
      </c>
      <c r="DL110" s="1008"/>
      <c r="DM110" s="1008"/>
      <c r="DN110" s="1008">
        <f>AC110-CR110</f>
        <v>0</v>
      </c>
      <c r="DO110" s="1008"/>
      <c r="DP110" s="1008">
        <f t="shared" si="117"/>
        <v>0</v>
      </c>
      <c r="DQ110" s="1008">
        <f t="shared" si="117"/>
        <v>0</v>
      </c>
      <c r="DR110" s="1008"/>
      <c r="DS110" s="1008">
        <f t="shared" si="118"/>
        <v>0</v>
      </c>
      <c r="DT110" s="1008">
        <f t="shared" si="118"/>
        <v>0</v>
      </c>
      <c r="DU110" s="1008"/>
      <c r="DV110" s="1008">
        <f t="shared" si="119"/>
        <v>0</v>
      </c>
      <c r="DW110" s="1008">
        <f t="shared" si="119"/>
        <v>0</v>
      </c>
      <c r="DX110" s="1008">
        <f t="shared" si="119"/>
        <v>0</v>
      </c>
      <c r="DY110" s="1008">
        <f t="shared" si="120"/>
        <v>0</v>
      </c>
      <c r="DZ110" s="1008">
        <f t="shared" si="120"/>
        <v>0</v>
      </c>
      <c r="EA110" s="1008">
        <f t="shared" si="120"/>
        <v>24000000</v>
      </c>
      <c r="EB110" s="1008">
        <f t="shared" si="120"/>
        <v>0</v>
      </c>
      <c r="EC110" s="1008"/>
      <c r="ED110" s="1008">
        <f t="shared" si="121"/>
        <v>0</v>
      </c>
    </row>
    <row r="111" spans="1:134" ht="33" customHeight="1" x14ac:dyDescent="0.25">
      <c r="A111" s="1559"/>
      <c r="B111" s="1019"/>
      <c r="C111" s="1116" t="s">
        <v>4465</v>
      </c>
      <c r="D111" s="1019" t="s">
        <v>4457</v>
      </c>
      <c r="E111" s="1020">
        <v>301</v>
      </c>
      <c r="F111" s="1120" t="s">
        <v>4661</v>
      </c>
      <c r="G111" s="1400"/>
      <c r="H111" s="1061">
        <f t="shared" si="100"/>
        <v>38337795</v>
      </c>
      <c r="I111" s="1061">
        <f t="shared" si="101"/>
        <v>46662205</v>
      </c>
      <c r="J111" s="1399" t="s">
        <v>4908</v>
      </c>
      <c r="K111" s="1283" t="s">
        <v>4913</v>
      </c>
      <c r="L111" s="1283" t="s">
        <v>4920</v>
      </c>
      <c r="M111" s="1115">
        <v>10</v>
      </c>
      <c r="N111" s="1115">
        <v>0</v>
      </c>
      <c r="O111" s="1115">
        <v>0</v>
      </c>
      <c r="P111" s="1115">
        <v>24</v>
      </c>
      <c r="Q111" s="1115">
        <v>12</v>
      </c>
      <c r="R111" s="1115">
        <v>3</v>
      </c>
      <c r="S111" s="1120"/>
      <c r="T111" s="1120"/>
      <c r="U111" s="1120"/>
      <c r="V111" s="1120"/>
      <c r="W111" s="1120"/>
      <c r="X111" s="1120"/>
      <c r="Y111" s="1008">
        <f t="shared" si="102"/>
        <v>85000000</v>
      </c>
      <c r="Z111" s="1008"/>
      <c r="AA111" s="1008"/>
      <c r="AB111" s="1008"/>
      <c r="AC111" s="1008"/>
      <c r="AD111" s="1008"/>
      <c r="AE111" s="1008"/>
      <c r="AF111" s="1008"/>
      <c r="AG111" s="1008"/>
      <c r="AH111" s="1008"/>
      <c r="AI111" s="1008"/>
      <c r="AJ111" s="1008"/>
      <c r="AK111" s="1008"/>
      <c r="AL111" s="1008"/>
      <c r="AM111" s="1008">
        <v>11406867</v>
      </c>
      <c r="AN111" s="1008"/>
      <c r="AO111" s="1008"/>
      <c r="AP111" s="1008">
        <v>73593133</v>
      </c>
      <c r="AQ111" s="1008"/>
      <c r="AR111" s="1008"/>
      <c r="AS111" s="1008"/>
      <c r="AU111" s="1011">
        <f t="shared" si="103"/>
        <v>1</v>
      </c>
      <c r="AV111" s="1008">
        <f t="shared" si="104"/>
        <v>85000000</v>
      </c>
      <c r="AW111" s="1008"/>
      <c r="AX111" s="1008"/>
      <c r="AY111" s="1008"/>
      <c r="AZ111" s="1008"/>
      <c r="BA111" s="1008"/>
      <c r="BB111" s="1008"/>
      <c r="BC111" s="1008"/>
      <c r="BD111" s="1008"/>
      <c r="BE111" s="1008"/>
      <c r="BF111" s="1008"/>
      <c r="BG111" s="1008"/>
      <c r="BH111" s="1008"/>
      <c r="BI111" s="1008"/>
      <c r="BJ111" s="1008">
        <f>+'[18]OCTUBRE 2015'!$W$1188</f>
        <v>11406867</v>
      </c>
      <c r="BK111" s="1008"/>
      <c r="BL111" s="1008"/>
      <c r="BM111" s="1008">
        <f>+'[18]OCTUBRE 2015'!$Z$1188</f>
        <v>73593133</v>
      </c>
      <c r="BN111" s="1008"/>
      <c r="BO111" s="1008"/>
      <c r="BP111" s="1008"/>
      <c r="BQ111" s="1011">
        <f t="shared" si="105"/>
        <v>0</v>
      </c>
      <c r="BR111" s="1008">
        <f t="shared" si="106"/>
        <v>0</v>
      </c>
      <c r="BS111" s="1008">
        <f t="shared" si="107"/>
        <v>0</v>
      </c>
      <c r="BT111" s="1008">
        <f t="shared" si="108"/>
        <v>0</v>
      </c>
      <c r="BU111" s="1008"/>
      <c r="BV111" s="1008">
        <f t="shared" si="109"/>
        <v>0</v>
      </c>
      <c r="BW111" s="1008"/>
      <c r="BX111" s="1008">
        <f t="shared" si="110"/>
        <v>0</v>
      </c>
      <c r="BY111" s="1008">
        <f t="shared" si="110"/>
        <v>0</v>
      </c>
      <c r="BZ111" s="1008"/>
      <c r="CA111" s="1008">
        <f t="shared" si="123"/>
        <v>0</v>
      </c>
      <c r="CB111" s="1008">
        <f t="shared" si="123"/>
        <v>0</v>
      </c>
      <c r="CC111" s="1008">
        <f t="shared" si="123"/>
        <v>0</v>
      </c>
      <c r="CD111" s="1008">
        <f t="shared" si="111"/>
        <v>0</v>
      </c>
      <c r="CE111" s="1008">
        <f t="shared" si="111"/>
        <v>0</v>
      </c>
      <c r="CF111" s="1008">
        <f t="shared" si="111"/>
        <v>0</v>
      </c>
      <c r="CG111" s="1008">
        <f t="shared" si="111"/>
        <v>0</v>
      </c>
      <c r="CH111" s="1008">
        <f t="shared" si="111"/>
        <v>0</v>
      </c>
      <c r="CI111" s="1008">
        <f t="shared" si="111"/>
        <v>0</v>
      </c>
      <c r="CJ111" s="1008"/>
      <c r="CK111" s="1008"/>
      <c r="CL111" s="1008">
        <f t="shared" si="112"/>
        <v>0</v>
      </c>
      <c r="CM111" s="1011">
        <f t="shared" si="113"/>
        <v>0.4510328823529412</v>
      </c>
      <c r="CN111" s="1008">
        <f t="shared" si="114"/>
        <v>38337795</v>
      </c>
      <c r="CO111" s="1008"/>
      <c r="CP111" s="1008"/>
      <c r="CQ111" s="1008"/>
      <c r="CR111" s="1008"/>
      <c r="CS111" s="1008"/>
      <c r="CT111" s="1008"/>
      <c r="CU111" s="1008"/>
      <c r="CV111" s="1008"/>
      <c r="CW111" s="1008"/>
      <c r="CX111" s="1008"/>
      <c r="CY111" s="1008"/>
      <c r="CZ111" s="1008"/>
      <c r="DA111" s="1008"/>
      <c r="DB111" s="1008">
        <v>8728499</v>
      </c>
      <c r="DC111" s="1008"/>
      <c r="DD111" s="1008"/>
      <c r="DE111" s="1008">
        <f>+'[18]OCTUBRE 2015'!$H$1191</f>
        <v>29609296</v>
      </c>
      <c r="DF111" s="1008"/>
      <c r="DG111" s="1008"/>
      <c r="DH111" s="1008"/>
      <c r="DI111" s="1011">
        <f t="shared" si="115"/>
        <v>0.54896711764705874</v>
      </c>
      <c r="DJ111" s="1008">
        <f t="shared" si="116"/>
        <v>46662205</v>
      </c>
      <c r="DK111" s="1008">
        <f t="shared" si="122"/>
        <v>0</v>
      </c>
      <c r="DL111" s="1008"/>
      <c r="DM111" s="1008"/>
      <c r="DN111" s="1008">
        <f>AC111-CR111</f>
        <v>0</v>
      </c>
      <c r="DO111" s="1008"/>
      <c r="DP111" s="1008">
        <f t="shared" si="117"/>
        <v>0</v>
      </c>
      <c r="DQ111" s="1008">
        <f t="shared" si="117"/>
        <v>0</v>
      </c>
      <c r="DR111" s="1008"/>
      <c r="DS111" s="1008">
        <f t="shared" si="118"/>
        <v>0</v>
      </c>
      <c r="DT111" s="1008">
        <f t="shared" si="118"/>
        <v>0</v>
      </c>
      <c r="DU111" s="1008"/>
      <c r="DV111" s="1008">
        <f t="shared" si="119"/>
        <v>0</v>
      </c>
      <c r="DW111" s="1008">
        <f t="shared" si="119"/>
        <v>0</v>
      </c>
      <c r="DX111" s="1008">
        <f t="shared" si="119"/>
        <v>2678368</v>
      </c>
      <c r="DY111" s="1008">
        <f t="shared" si="120"/>
        <v>0</v>
      </c>
      <c r="DZ111" s="1008">
        <f t="shared" si="120"/>
        <v>0</v>
      </c>
      <c r="EA111" s="1008">
        <f t="shared" si="120"/>
        <v>43983837</v>
      </c>
      <c r="EB111" s="1008">
        <f t="shared" si="120"/>
        <v>0</v>
      </c>
      <c r="EC111" s="1008"/>
      <c r="ED111" s="1008">
        <f t="shared" si="121"/>
        <v>0</v>
      </c>
    </row>
    <row r="112" spans="1:134" ht="26.25" customHeight="1" x14ac:dyDescent="0.25">
      <c r="A112" s="1559"/>
      <c r="B112" s="1019"/>
      <c r="C112" s="1116" t="s">
        <v>4675</v>
      </c>
      <c r="D112" s="1019" t="s">
        <v>4701</v>
      </c>
      <c r="E112" s="1020">
        <v>301</v>
      </c>
      <c r="F112" s="1120" t="s">
        <v>4688</v>
      </c>
      <c r="G112" s="1400"/>
      <c r="H112" s="1061">
        <f t="shared" si="100"/>
        <v>70768544</v>
      </c>
      <c r="I112" s="1061">
        <f t="shared" si="101"/>
        <v>9231456</v>
      </c>
      <c r="J112" s="1401"/>
      <c r="K112" s="1284"/>
      <c r="L112" s="1284"/>
      <c r="M112" s="1115">
        <v>5</v>
      </c>
      <c r="N112" s="1115">
        <v>18</v>
      </c>
      <c r="O112" s="1115">
        <v>1</v>
      </c>
      <c r="P112" s="1115">
        <v>23</v>
      </c>
      <c r="Q112" s="1115">
        <v>42</v>
      </c>
      <c r="R112" s="1115">
        <v>9</v>
      </c>
      <c r="S112" s="1120"/>
      <c r="T112" s="1120"/>
      <c r="U112" s="1120"/>
      <c r="V112" s="1120"/>
      <c r="W112" s="1120"/>
      <c r="X112" s="1120"/>
      <c r="Y112" s="1008">
        <f t="shared" si="102"/>
        <v>80000000</v>
      </c>
      <c r="Z112" s="1008">
        <v>80000000</v>
      </c>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U112" s="1011">
        <f t="shared" si="103"/>
        <v>1</v>
      </c>
      <c r="AV112" s="1008">
        <f t="shared" si="104"/>
        <v>80000000</v>
      </c>
      <c r="AW112" s="1008">
        <f>+'[10]MARZO 2015'!$J$488</f>
        <v>80000000</v>
      </c>
      <c r="AX112" s="1008"/>
      <c r="AY112" s="1008"/>
      <c r="AZ112" s="1008"/>
      <c r="BA112" s="1008"/>
      <c r="BB112" s="1008"/>
      <c r="BC112" s="1008"/>
      <c r="BD112" s="1008"/>
      <c r="BE112" s="1008"/>
      <c r="BF112" s="1008"/>
      <c r="BG112" s="1008"/>
      <c r="BH112" s="1008"/>
      <c r="BI112" s="1008"/>
      <c r="BJ112" s="1008"/>
      <c r="BK112" s="1008"/>
      <c r="BL112" s="1008"/>
      <c r="BM112" s="1008"/>
      <c r="BN112" s="1008"/>
      <c r="BO112" s="1008"/>
      <c r="BP112" s="1008"/>
      <c r="BQ112" s="1011">
        <f t="shared" si="105"/>
        <v>0</v>
      </c>
      <c r="BR112" s="1008">
        <f t="shared" si="106"/>
        <v>0</v>
      </c>
      <c r="BS112" s="1008">
        <f t="shared" si="107"/>
        <v>0</v>
      </c>
      <c r="BT112" s="1008">
        <f t="shared" si="108"/>
        <v>0</v>
      </c>
      <c r="BU112" s="1008"/>
      <c r="BV112" s="1008">
        <f t="shared" si="109"/>
        <v>0</v>
      </c>
      <c r="BW112" s="1008"/>
      <c r="BX112" s="1008"/>
      <c r="BY112" s="1008"/>
      <c r="BZ112" s="1008"/>
      <c r="CA112" s="1008"/>
      <c r="CB112" s="1008"/>
      <c r="CC112" s="1008"/>
      <c r="CD112" s="1008"/>
      <c r="CE112" s="1008">
        <f t="shared" si="111"/>
        <v>0</v>
      </c>
      <c r="CF112" s="1008">
        <f t="shared" si="111"/>
        <v>0</v>
      </c>
      <c r="CG112" s="1008">
        <f t="shared" si="111"/>
        <v>0</v>
      </c>
      <c r="CH112" s="1008">
        <f t="shared" si="111"/>
        <v>0</v>
      </c>
      <c r="CI112" s="1008"/>
      <c r="CJ112" s="1008"/>
      <c r="CK112" s="1008"/>
      <c r="CL112" s="1008">
        <f t="shared" si="112"/>
        <v>0</v>
      </c>
      <c r="CM112" s="1011">
        <f t="shared" si="113"/>
        <v>0.88460680000000003</v>
      </c>
      <c r="CN112" s="1008">
        <f t="shared" si="114"/>
        <v>70768544</v>
      </c>
      <c r="CO112" s="1008">
        <f>+'[18]OCTUBRE 2015'!$H$1197</f>
        <v>70768544</v>
      </c>
      <c r="CP112" s="1008"/>
      <c r="CQ112" s="1008"/>
      <c r="CR112" s="1008"/>
      <c r="CS112" s="1008"/>
      <c r="CT112" s="1008"/>
      <c r="CU112" s="1008"/>
      <c r="CV112" s="1008"/>
      <c r="CW112" s="1008"/>
      <c r="CX112" s="1008"/>
      <c r="CY112" s="1008"/>
      <c r="CZ112" s="1008"/>
      <c r="DA112" s="1008"/>
      <c r="DB112" s="1008"/>
      <c r="DC112" s="1008"/>
      <c r="DD112" s="1008"/>
      <c r="DE112" s="1008"/>
      <c r="DF112" s="1008"/>
      <c r="DG112" s="1008"/>
      <c r="DH112" s="1008"/>
      <c r="DI112" s="1011">
        <f t="shared" si="115"/>
        <v>0.11539319999999997</v>
      </c>
      <c r="DJ112" s="1008">
        <f t="shared" si="116"/>
        <v>9231456</v>
      </c>
      <c r="DK112" s="1008">
        <f t="shared" si="122"/>
        <v>9231456</v>
      </c>
      <c r="DL112" s="1008"/>
      <c r="DM112" s="1008"/>
      <c r="DN112" s="1008"/>
      <c r="DO112" s="1008"/>
      <c r="DP112" s="1008">
        <f>AE112-CT112</f>
        <v>0</v>
      </c>
      <c r="DQ112" s="1008"/>
      <c r="DR112" s="1008"/>
      <c r="DS112" s="1008"/>
      <c r="DT112" s="1008"/>
      <c r="DU112" s="1008"/>
      <c r="DV112" s="1008"/>
      <c r="DW112" s="1008"/>
      <c r="DX112" s="1008"/>
      <c r="DY112" s="1008">
        <f>+AN112-DC112</f>
        <v>0</v>
      </c>
      <c r="DZ112" s="1008"/>
      <c r="EA112" s="1008"/>
      <c r="EB112" s="1008"/>
      <c r="EC112" s="1008"/>
      <c r="ED112" s="1008">
        <f t="shared" si="121"/>
        <v>0</v>
      </c>
    </row>
    <row r="113" spans="1:134" ht="26.25" customHeight="1" x14ac:dyDescent="0.25">
      <c r="A113" s="1559"/>
      <c r="B113" s="1019"/>
      <c r="C113" s="1116" t="s">
        <v>4676</v>
      </c>
      <c r="D113" s="1019" t="s">
        <v>4702</v>
      </c>
      <c r="E113" s="1020">
        <v>301</v>
      </c>
      <c r="F113" s="1120" t="s">
        <v>4591</v>
      </c>
      <c r="G113" s="1400"/>
      <c r="H113" s="1061">
        <f t="shared" si="100"/>
        <v>100000000</v>
      </c>
      <c r="I113" s="1061">
        <f t="shared" si="101"/>
        <v>0</v>
      </c>
      <c r="J113" s="1399" t="s">
        <v>4914</v>
      </c>
      <c r="K113" s="1283" t="s">
        <v>4915</v>
      </c>
      <c r="L113" s="1283" t="s">
        <v>4921</v>
      </c>
      <c r="M113" s="1115">
        <v>0</v>
      </c>
      <c r="N113" s="1115">
        <v>0</v>
      </c>
      <c r="O113" s="1115">
        <v>0</v>
      </c>
      <c r="P113" s="1115">
        <v>100</v>
      </c>
      <c r="Q113" s="1115">
        <v>0</v>
      </c>
      <c r="R113" s="1115">
        <v>0</v>
      </c>
      <c r="S113" s="1120"/>
      <c r="T113" s="1120"/>
      <c r="U113" s="1120"/>
      <c r="V113" s="1120"/>
      <c r="W113" s="1120"/>
      <c r="X113" s="1120"/>
      <c r="Y113" s="1008">
        <f t="shared" si="102"/>
        <v>100000000</v>
      </c>
      <c r="Z113" s="1008"/>
      <c r="AA113" s="1008"/>
      <c r="AB113" s="1008"/>
      <c r="AC113" s="1008"/>
      <c r="AD113" s="1008"/>
      <c r="AE113" s="1008"/>
      <c r="AF113" s="1008"/>
      <c r="AG113" s="1008"/>
      <c r="AH113" s="1008"/>
      <c r="AI113" s="1008"/>
      <c r="AJ113" s="1008"/>
      <c r="AK113" s="1008"/>
      <c r="AL113" s="1008"/>
      <c r="AM113" s="1008"/>
      <c r="AN113" s="1008">
        <v>100000000</v>
      </c>
      <c r="AO113" s="1008"/>
      <c r="AP113" s="1008"/>
      <c r="AQ113" s="1008"/>
      <c r="AR113" s="1008"/>
      <c r="AS113" s="1008"/>
      <c r="AU113" s="1011">
        <f t="shared" si="103"/>
        <v>1</v>
      </c>
      <c r="AV113" s="1008">
        <f t="shared" si="104"/>
        <v>100000000</v>
      </c>
      <c r="AW113" s="1008"/>
      <c r="AX113" s="1008"/>
      <c r="AY113" s="1008"/>
      <c r="AZ113" s="1008"/>
      <c r="BA113" s="1008"/>
      <c r="BB113" s="1008"/>
      <c r="BC113" s="1008"/>
      <c r="BD113" s="1008"/>
      <c r="BE113" s="1008"/>
      <c r="BF113" s="1008"/>
      <c r="BG113" s="1008"/>
      <c r="BH113" s="1008"/>
      <c r="BI113" s="1008"/>
      <c r="BJ113" s="1008"/>
      <c r="BK113" s="1008">
        <f>+'[10]MARZO 2015'!$W$496</f>
        <v>100000000</v>
      </c>
      <c r="BL113" s="1008"/>
      <c r="BM113" s="1008"/>
      <c r="BN113" s="1008"/>
      <c r="BO113" s="1008"/>
      <c r="BP113" s="1008"/>
      <c r="BQ113" s="1011">
        <f t="shared" si="105"/>
        <v>0</v>
      </c>
      <c r="BR113" s="1008">
        <f t="shared" si="106"/>
        <v>0</v>
      </c>
      <c r="BS113" s="1008">
        <f t="shared" si="107"/>
        <v>0</v>
      </c>
      <c r="BT113" s="1008">
        <f t="shared" si="108"/>
        <v>0</v>
      </c>
      <c r="BU113" s="1008"/>
      <c r="BV113" s="1008">
        <f t="shared" si="109"/>
        <v>0</v>
      </c>
      <c r="BW113" s="1008"/>
      <c r="BX113" s="1008"/>
      <c r="BY113" s="1008"/>
      <c r="BZ113" s="1008"/>
      <c r="CA113" s="1008"/>
      <c r="CB113" s="1008"/>
      <c r="CC113" s="1008"/>
      <c r="CD113" s="1008"/>
      <c r="CE113" s="1008">
        <f t="shared" si="111"/>
        <v>0</v>
      </c>
      <c r="CF113" s="1008">
        <f t="shared" si="111"/>
        <v>0</v>
      </c>
      <c r="CG113" s="1008">
        <f t="shared" si="111"/>
        <v>0</v>
      </c>
      <c r="CH113" s="1008">
        <f t="shared" si="111"/>
        <v>0</v>
      </c>
      <c r="CI113" s="1008"/>
      <c r="CJ113" s="1008"/>
      <c r="CK113" s="1008"/>
      <c r="CL113" s="1008">
        <f t="shared" si="112"/>
        <v>0</v>
      </c>
      <c r="CM113" s="1011">
        <f t="shared" si="113"/>
        <v>1</v>
      </c>
      <c r="CN113" s="1008">
        <f t="shared" si="114"/>
        <v>100000000</v>
      </c>
      <c r="CO113" s="1008"/>
      <c r="CP113" s="1008"/>
      <c r="CQ113" s="1008"/>
      <c r="CR113" s="1008"/>
      <c r="CS113" s="1008"/>
      <c r="CT113" s="1008"/>
      <c r="CU113" s="1008"/>
      <c r="CV113" s="1008"/>
      <c r="CW113" s="1008"/>
      <c r="CX113" s="1008"/>
      <c r="CY113" s="1008"/>
      <c r="CZ113" s="1008"/>
      <c r="DA113" s="1008"/>
      <c r="DB113" s="1008"/>
      <c r="DC113" s="1008">
        <f>+'[11]ABRIL 2015'!$H$571</f>
        <v>100000000</v>
      </c>
      <c r="DD113" s="1008"/>
      <c r="DE113" s="1008"/>
      <c r="DF113" s="1008"/>
      <c r="DG113" s="1008"/>
      <c r="DH113" s="1008"/>
      <c r="DI113" s="1011">
        <f t="shared" si="115"/>
        <v>0</v>
      </c>
      <c r="DJ113" s="1008">
        <f t="shared" si="116"/>
        <v>0</v>
      </c>
      <c r="DK113" s="1008">
        <f t="shared" si="122"/>
        <v>0</v>
      </c>
      <c r="DL113" s="1008"/>
      <c r="DM113" s="1008"/>
      <c r="DN113" s="1008"/>
      <c r="DO113" s="1008"/>
      <c r="DP113" s="1008">
        <f>AE113-CT113</f>
        <v>0</v>
      </c>
      <c r="DQ113" s="1008"/>
      <c r="DR113" s="1008"/>
      <c r="DS113" s="1008"/>
      <c r="DT113" s="1008"/>
      <c r="DU113" s="1008"/>
      <c r="DV113" s="1008"/>
      <c r="DW113" s="1008"/>
      <c r="DX113" s="1008"/>
      <c r="DY113" s="1008">
        <f>+AN113-DC113</f>
        <v>0</v>
      </c>
      <c r="DZ113" s="1008"/>
      <c r="EA113" s="1008"/>
      <c r="EB113" s="1008"/>
      <c r="EC113" s="1008"/>
      <c r="ED113" s="1008">
        <f t="shared" si="121"/>
        <v>0</v>
      </c>
    </row>
    <row r="114" spans="1:134" s="203" customFormat="1" ht="33.75" customHeight="1" x14ac:dyDescent="0.25">
      <c r="A114" s="1559"/>
      <c r="B114" s="1019"/>
      <c r="C114" s="1081" t="s">
        <v>4715</v>
      </c>
      <c r="D114" s="1019" t="s">
        <v>4716</v>
      </c>
      <c r="E114" s="1020">
        <v>301</v>
      </c>
      <c r="F114" s="1120" t="s">
        <v>4661</v>
      </c>
      <c r="G114" s="1401"/>
      <c r="H114" s="1061">
        <f t="shared" si="100"/>
        <v>0</v>
      </c>
      <c r="I114" s="1061">
        <f t="shared" si="101"/>
        <v>30000000</v>
      </c>
      <c r="J114" s="1401"/>
      <c r="K114" s="1284"/>
      <c r="L114" s="1284"/>
      <c r="M114" s="1077"/>
      <c r="N114" s="1077"/>
      <c r="O114" s="1077"/>
      <c r="P114" s="1075"/>
      <c r="Q114" s="1075"/>
      <c r="R114" s="1075"/>
      <c r="S114" s="1120"/>
      <c r="T114" s="1120"/>
      <c r="U114" s="1120"/>
      <c r="V114" s="1120"/>
      <c r="W114" s="1120"/>
      <c r="X114" s="1120"/>
      <c r="Y114" s="1067">
        <f t="shared" si="102"/>
        <v>30000000</v>
      </c>
      <c r="Z114" s="1067"/>
      <c r="AA114" s="1067"/>
      <c r="AB114" s="1067"/>
      <c r="AC114" s="1067"/>
      <c r="AD114" s="1067"/>
      <c r="AE114" s="1067"/>
      <c r="AF114" s="1067"/>
      <c r="AG114" s="1067"/>
      <c r="AH114" s="1067"/>
      <c r="AI114" s="1067"/>
      <c r="AJ114" s="1067"/>
      <c r="AK114" s="1067"/>
      <c r="AL114" s="1067"/>
      <c r="AM114" s="1067"/>
      <c r="AN114" s="1067"/>
      <c r="AO114" s="1067">
        <v>30000000</v>
      </c>
      <c r="AP114" s="1067"/>
      <c r="AQ114" s="1067"/>
      <c r="AR114" s="1067"/>
      <c r="AS114" s="1067"/>
      <c r="AU114" s="1082">
        <f t="shared" si="103"/>
        <v>1</v>
      </c>
      <c r="AV114" s="1067">
        <f t="shared" si="104"/>
        <v>30000000</v>
      </c>
      <c r="AW114" s="1067"/>
      <c r="AX114" s="1067"/>
      <c r="AY114" s="1067"/>
      <c r="AZ114" s="1067"/>
      <c r="BA114" s="1067"/>
      <c r="BB114" s="1067"/>
      <c r="BC114" s="1067"/>
      <c r="BD114" s="1067"/>
      <c r="BE114" s="1067"/>
      <c r="BF114" s="1067"/>
      <c r="BG114" s="1067"/>
      <c r="BH114" s="1067"/>
      <c r="BI114" s="1067"/>
      <c r="BJ114" s="1067"/>
      <c r="BK114" s="1067"/>
      <c r="BL114" s="1067">
        <f>+'[18]OCTUBRE 2015'!$Y$1239</f>
        <v>30000000</v>
      </c>
      <c r="BM114" s="1067"/>
      <c r="BN114" s="1067"/>
      <c r="BO114" s="1067"/>
      <c r="BP114" s="1067"/>
      <c r="BQ114" s="1082">
        <f t="shared" si="105"/>
        <v>0</v>
      </c>
      <c r="BR114" s="1067">
        <f t="shared" si="106"/>
        <v>0</v>
      </c>
      <c r="BS114" s="1067"/>
      <c r="BT114" s="1067"/>
      <c r="BU114" s="1067"/>
      <c r="BV114" s="1067"/>
      <c r="BW114" s="1067"/>
      <c r="BX114" s="1067"/>
      <c r="BY114" s="1067"/>
      <c r="BZ114" s="1067"/>
      <c r="CA114" s="1067"/>
      <c r="CB114" s="1067"/>
      <c r="CC114" s="1067"/>
      <c r="CD114" s="1067"/>
      <c r="CE114" s="1067"/>
      <c r="CF114" s="1067"/>
      <c r="CG114" s="1067"/>
      <c r="CH114" s="1067">
        <f t="shared" si="111"/>
        <v>0</v>
      </c>
      <c r="CI114" s="1067"/>
      <c r="CJ114" s="1067"/>
      <c r="CK114" s="1067"/>
      <c r="CL114" s="1067"/>
      <c r="CM114" s="1082">
        <f t="shared" si="113"/>
        <v>0</v>
      </c>
      <c r="CN114" s="1067">
        <f t="shared" si="114"/>
        <v>0</v>
      </c>
      <c r="CO114" s="1067"/>
      <c r="CP114" s="1067"/>
      <c r="CQ114" s="1067"/>
      <c r="CR114" s="1067"/>
      <c r="CS114" s="1067"/>
      <c r="CT114" s="1067"/>
      <c r="CU114" s="1067"/>
      <c r="CV114" s="1067"/>
      <c r="CW114" s="1067"/>
      <c r="CX114" s="1067"/>
      <c r="CY114" s="1067"/>
      <c r="CZ114" s="1067"/>
      <c r="DA114" s="1067"/>
      <c r="DB114" s="1067"/>
      <c r="DC114" s="1067"/>
      <c r="DD114" s="1067"/>
      <c r="DE114" s="1067"/>
      <c r="DF114" s="1067"/>
      <c r="DG114" s="1067"/>
      <c r="DH114" s="1067"/>
      <c r="DI114" s="1082">
        <f t="shared" si="115"/>
        <v>1</v>
      </c>
      <c r="DJ114" s="1067">
        <f t="shared" si="116"/>
        <v>30000000</v>
      </c>
      <c r="DK114" s="1067"/>
      <c r="DL114" s="1067"/>
      <c r="DM114" s="1067"/>
      <c r="DN114" s="1067"/>
      <c r="DO114" s="1067"/>
      <c r="DP114" s="1067"/>
      <c r="DQ114" s="1067"/>
      <c r="DR114" s="1067"/>
      <c r="DS114" s="1067"/>
      <c r="DT114" s="1067"/>
      <c r="DU114" s="1067"/>
      <c r="DV114" s="1067"/>
      <c r="DW114" s="1067"/>
      <c r="DX114" s="1067"/>
      <c r="DY114" s="1067"/>
      <c r="DZ114" s="1067">
        <f t="shared" ref="DZ114:EB128" si="124">+AO114-DD114</f>
        <v>30000000</v>
      </c>
      <c r="EA114" s="1067"/>
      <c r="EB114" s="1067"/>
      <c r="EC114" s="1067"/>
      <c r="ED114" s="1067"/>
    </row>
    <row r="115" spans="1:134" ht="42.75" customHeight="1" x14ac:dyDescent="0.25">
      <c r="A115" s="1559"/>
      <c r="B115" s="1028" t="s">
        <v>4442</v>
      </c>
      <c r="C115" s="347" t="s">
        <v>4634</v>
      </c>
      <c r="D115" s="1019" t="s">
        <v>4459</v>
      </c>
      <c r="E115" s="1593">
        <v>301</v>
      </c>
      <c r="F115" s="1399" t="s">
        <v>4739</v>
      </c>
      <c r="G115" s="1068">
        <v>304000000</v>
      </c>
      <c r="H115" s="1061">
        <f t="shared" si="100"/>
        <v>296730427</v>
      </c>
      <c r="I115" s="1061">
        <f t="shared" si="101"/>
        <v>15269573</v>
      </c>
      <c r="J115" s="1120" t="s">
        <v>4937</v>
      </c>
      <c r="K115" s="1115" t="s">
        <v>4940</v>
      </c>
      <c r="L115" s="1115" t="s">
        <v>4943</v>
      </c>
      <c r="M115" s="1283">
        <v>12</v>
      </c>
      <c r="N115" s="1115">
        <v>0</v>
      </c>
      <c r="O115" s="1115">
        <v>0</v>
      </c>
      <c r="P115" s="1283">
        <v>45</v>
      </c>
      <c r="Q115" s="1115">
        <v>57</v>
      </c>
      <c r="R115" s="1115">
        <v>26</v>
      </c>
      <c r="S115" s="1120"/>
      <c r="T115" s="1120"/>
      <c r="U115" s="1120"/>
      <c r="V115" s="1120"/>
      <c r="W115" s="1120"/>
      <c r="X115" s="1120"/>
      <c r="Y115" s="1008">
        <f t="shared" si="102"/>
        <v>312000000</v>
      </c>
      <c r="Z115" s="1008"/>
      <c r="AA115" s="1008"/>
      <c r="AB115" s="1008"/>
      <c r="AC115" s="1008"/>
      <c r="AD115" s="1008"/>
      <c r="AE115" s="1008"/>
      <c r="AF115" s="1008"/>
      <c r="AG115" s="1008"/>
      <c r="AH115" s="1008"/>
      <c r="AI115" s="1008"/>
      <c r="AJ115" s="1008"/>
      <c r="AK115" s="1008"/>
      <c r="AL115" s="1008"/>
      <c r="AM115" s="1008">
        <v>300000000</v>
      </c>
      <c r="AN115" s="1008"/>
      <c r="AO115" s="1008"/>
      <c r="AP115" s="1008"/>
      <c r="AQ115" s="1008"/>
      <c r="AR115" s="1008"/>
      <c r="AS115" s="1008">
        <f>4000000+8000000</f>
        <v>12000000</v>
      </c>
      <c r="AU115" s="1011">
        <f t="shared" si="103"/>
        <v>0.99425641025641021</v>
      </c>
      <c r="AV115" s="1008">
        <f t="shared" si="104"/>
        <v>310208000</v>
      </c>
      <c r="AW115" s="1008"/>
      <c r="AX115" s="1008"/>
      <c r="AY115" s="1008"/>
      <c r="AZ115" s="1008"/>
      <c r="BA115" s="1008"/>
      <c r="BB115" s="1008"/>
      <c r="BC115" s="1008"/>
      <c r="BD115" s="1008"/>
      <c r="BE115" s="1008"/>
      <c r="BF115" s="1008"/>
      <c r="BG115" s="1008"/>
      <c r="BH115" s="1008"/>
      <c r="BI115" s="1008"/>
      <c r="BJ115" s="1008">
        <f>+'[16]AGOSTO 2015'!$W$943</f>
        <v>298208000</v>
      </c>
      <c r="BK115" s="1008"/>
      <c r="BL115" s="1008"/>
      <c r="BM115" s="1008"/>
      <c r="BN115" s="1008"/>
      <c r="BO115" s="1008"/>
      <c r="BP115" s="1008">
        <f>+'[15]JULIO 2015'!$AD$839</f>
        <v>12000000</v>
      </c>
      <c r="BQ115" s="1011">
        <f t="shared" si="105"/>
        <v>5.7435897435897942E-3</v>
      </c>
      <c r="BR115" s="1008">
        <f t="shared" si="106"/>
        <v>1792000</v>
      </c>
      <c r="BS115" s="1008">
        <f t="shared" ref="BS115:BS128" si="125">+Z115-AW115</f>
        <v>0</v>
      </c>
      <c r="BT115" s="1008">
        <f t="shared" ref="BT115:BT128" si="126">AA115-AX115</f>
        <v>0</v>
      </c>
      <c r="BU115" s="1008"/>
      <c r="BV115" s="1008">
        <f t="shared" ref="BV115:BV128" si="127">AC115-AZ115</f>
        <v>0</v>
      </c>
      <c r="BW115" s="1008"/>
      <c r="BX115" s="1008">
        <f t="shared" ref="BX115:BY128" si="128">+AE115-BB115</f>
        <v>0</v>
      </c>
      <c r="BY115" s="1008">
        <f t="shared" si="128"/>
        <v>0</v>
      </c>
      <c r="BZ115" s="1008"/>
      <c r="CA115" s="1008">
        <f t="shared" ref="CA115:CG128" si="129">+AH115-BE115</f>
        <v>0</v>
      </c>
      <c r="CB115" s="1008">
        <f t="shared" si="129"/>
        <v>0</v>
      </c>
      <c r="CC115" s="1008">
        <f t="shared" si="129"/>
        <v>0</v>
      </c>
      <c r="CD115" s="1008">
        <f t="shared" si="129"/>
        <v>0</v>
      </c>
      <c r="CE115" s="1008">
        <f t="shared" si="129"/>
        <v>0</v>
      </c>
      <c r="CF115" s="1008">
        <f t="shared" si="129"/>
        <v>1792000</v>
      </c>
      <c r="CG115" s="1008">
        <f t="shared" si="129"/>
        <v>0</v>
      </c>
      <c r="CH115" s="1008">
        <f t="shared" si="111"/>
        <v>0</v>
      </c>
      <c r="CI115" s="1008">
        <f t="shared" si="111"/>
        <v>0</v>
      </c>
      <c r="CJ115" s="1008"/>
      <c r="CK115" s="1008"/>
      <c r="CL115" s="1008">
        <f t="shared" ref="CL115:CL128" si="130">+AS115-BP115</f>
        <v>0</v>
      </c>
      <c r="CM115" s="1011">
        <f t="shared" si="113"/>
        <v>0.95105906089743586</v>
      </c>
      <c r="CN115" s="1008">
        <f t="shared" si="114"/>
        <v>296730427</v>
      </c>
      <c r="CO115" s="1008"/>
      <c r="CP115" s="1008"/>
      <c r="CQ115" s="1008"/>
      <c r="CR115" s="1008"/>
      <c r="CS115" s="1008"/>
      <c r="CT115" s="1008"/>
      <c r="CU115" s="1008"/>
      <c r="CV115" s="1008"/>
      <c r="CW115" s="1008"/>
      <c r="CX115" s="1008"/>
      <c r="CY115" s="1008"/>
      <c r="CZ115" s="1008"/>
      <c r="DA115" s="1008"/>
      <c r="DB115" s="1008">
        <f>+'[18]OCTUBRE 2015'!$H$1246-DH115</f>
        <v>295730427</v>
      </c>
      <c r="DC115" s="1008"/>
      <c r="DD115" s="1008"/>
      <c r="DE115" s="1008"/>
      <c r="DF115" s="1008"/>
      <c r="DG115" s="1008"/>
      <c r="DH115" s="1008">
        <f>+'[17]SEPTIEMBRE 2015'!$H$1144</f>
        <v>1000000</v>
      </c>
      <c r="DI115" s="1011">
        <f t="shared" si="115"/>
        <v>4.894093910256414E-2</v>
      </c>
      <c r="DJ115" s="1008">
        <f t="shared" si="116"/>
        <v>15269573</v>
      </c>
      <c r="DK115" s="1008">
        <f t="shared" ref="DK115:DK128" si="131">Z115-CO115</f>
        <v>0</v>
      </c>
      <c r="DL115" s="1008"/>
      <c r="DM115" s="1008"/>
      <c r="DN115" s="1008">
        <f t="shared" ref="DN115:DN128" si="132">AC115-CR115</f>
        <v>0</v>
      </c>
      <c r="DO115" s="1008"/>
      <c r="DP115" s="1008">
        <f t="shared" ref="DP115:DQ128" si="133">AE115-CT115</f>
        <v>0</v>
      </c>
      <c r="DQ115" s="1008">
        <f t="shared" si="133"/>
        <v>0</v>
      </c>
      <c r="DR115" s="1008"/>
      <c r="DS115" s="1008">
        <f t="shared" ref="DS115:DT128" si="134">+AH115-CW115</f>
        <v>0</v>
      </c>
      <c r="DT115" s="1008">
        <f t="shared" si="134"/>
        <v>0</v>
      </c>
      <c r="DU115" s="1008"/>
      <c r="DV115" s="1008">
        <f t="shared" ref="DV115:DX128" si="135">AK115-CZ115</f>
        <v>0</v>
      </c>
      <c r="DW115" s="1008">
        <f t="shared" si="135"/>
        <v>0</v>
      </c>
      <c r="DX115" s="1008">
        <f t="shared" si="135"/>
        <v>4269573</v>
      </c>
      <c r="DY115" s="1008">
        <f t="shared" ref="DY115:DY128" si="136">+AN115-DC115</f>
        <v>0</v>
      </c>
      <c r="DZ115" s="1008">
        <f t="shared" si="124"/>
        <v>0</v>
      </c>
      <c r="EA115" s="1008">
        <f t="shared" si="124"/>
        <v>0</v>
      </c>
      <c r="EB115" s="1008">
        <f t="shared" si="124"/>
        <v>0</v>
      </c>
      <c r="EC115" s="1008"/>
      <c r="ED115" s="1008">
        <f t="shared" ref="ED115:ED128" si="137">+AS115-DH115</f>
        <v>11000000</v>
      </c>
    </row>
    <row r="116" spans="1:134" s="203" customFormat="1" ht="27" hidden="1" customHeight="1" x14ac:dyDescent="0.25">
      <c r="A116" s="1559"/>
      <c r="B116" s="1085"/>
      <c r="C116" s="1086"/>
      <c r="D116" s="1019" t="s">
        <v>4934</v>
      </c>
      <c r="E116" s="1597"/>
      <c r="F116" s="1400"/>
      <c r="G116" s="1087"/>
      <c r="H116" s="1061"/>
      <c r="I116" s="1061"/>
      <c r="J116" s="1120" t="s">
        <v>4936</v>
      </c>
      <c r="K116" s="1115" t="s">
        <v>4939</v>
      </c>
      <c r="L116" s="1115" t="s">
        <v>4942</v>
      </c>
      <c r="M116" s="1573"/>
      <c r="N116" s="1115">
        <v>0</v>
      </c>
      <c r="O116" s="1115">
        <v>0</v>
      </c>
      <c r="P116" s="1573"/>
      <c r="Q116" s="1115">
        <v>68</v>
      </c>
      <c r="R116" s="1115">
        <v>0</v>
      </c>
      <c r="S116" s="1120"/>
      <c r="T116" s="1120"/>
      <c r="U116" s="1120"/>
      <c r="V116" s="1120"/>
      <c r="W116" s="1120"/>
      <c r="X116" s="1120"/>
      <c r="Y116" s="1067"/>
      <c r="Z116" s="1067"/>
      <c r="AA116" s="1067"/>
      <c r="AB116" s="1067"/>
      <c r="AC116" s="1067"/>
      <c r="AD116" s="1067"/>
      <c r="AE116" s="1067"/>
      <c r="AF116" s="1067"/>
      <c r="AG116" s="1067"/>
      <c r="AH116" s="1067"/>
      <c r="AI116" s="1067"/>
      <c r="AJ116" s="1067"/>
      <c r="AK116" s="1067"/>
      <c r="AL116" s="1067"/>
      <c r="AM116" s="1067"/>
      <c r="AN116" s="1067"/>
      <c r="AO116" s="1067"/>
      <c r="AP116" s="1067"/>
      <c r="AQ116" s="1067"/>
      <c r="AR116" s="1067"/>
      <c r="AS116" s="1067"/>
      <c r="AU116" s="1082"/>
      <c r="AV116" s="1067"/>
      <c r="AW116" s="1067"/>
      <c r="AX116" s="1067"/>
      <c r="AY116" s="1067"/>
      <c r="AZ116" s="1067"/>
      <c r="BA116" s="1067"/>
      <c r="BB116" s="1067"/>
      <c r="BC116" s="1067"/>
      <c r="BD116" s="1067"/>
      <c r="BE116" s="1067"/>
      <c r="BF116" s="1067"/>
      <c r="BG116" s="1067"/>
      <c r="BH116" s="1067"/>
      <c r="BI116" s="1067"/>
      <c r="BJ116" s="1067"/>
      <c r="BK116" s="1067"/>
      <c r="BL116" s="1067"/>
      <c r="BM116" s="1067"/>
      <c r="BN116" s="1067"/>
      <c r="BO116" s="1067"/>
      <c r="BP116" s="1067"/>
      <c r="BQ116" s="1082"/>
      <c r="BR116" s="1067"/>
      <c r="BS116" s="1067"/>
      <c r="BT116" s="1067"/>
      <c r="BU116" s="1067"/>
      <c r="BV116" s="1067"/>
      <c r="BW116" s="1067"/>
      <c r="BX116" s="1067"/>
      <c r="BY116" s="1067"/>
      <c r="BZ116" s="1067"/>
      <c r="CA116" s="1067"/>
      <c r="CB116" s="1067"/>
      <c r="CC116" s="1067"/>
      <c r="CD116" s="1067"/>
      <c r="CE116" s="1067"/>
      <c r="CF116" s="1067"/>
      <c r="CG116" s="1067"/>
      <c r="CH116" s="1067"/>
      <c r="CI116" s="1067"/>
      <c r="CJ116" s="1067"/>
      <c r="CK116" s="1067"/>
      <c r="CL116" s="1067"/>
      <c r="CM116" s="1082"/>
      <c r="CN116" s="1067"/>
      <c r="CO116" s="1067"/>
      <c r="CP116" s="1067"/>
      <c r="CQ116" s="1067"/>
      <c r="CR116" s="1067"/>
      <c r="CS116" s="1067"/>
      <c r="CT116" s="1067"/>
      <c r="CU116" s="1067"/>
      <c r="CV116" s="1067"/>
      <c r="CW116" s="1067"/>
      <c r="CX116" s="1067"/>
      <c r="CY116" s="1067"/>
      <c r="CZ116" s="1067"/>
      <c r="DA116" s="1067"/>
      <c r="DB116" s="1067"/>
      <c r="DC116" s="1067"/>
      <c r="DD116" s="1067"/>
      <c r="DE116" s="1067"/>
      <c r="DF116" s="1067"/>
      <c r="DG116" s="1067"/>
      <c r="DH116" s="1067"/>
      <c r="DI116" s="1082"/>
      <c r="DJ116" s="1067"/>
      <c r="DK116" s="1067"/>
      <c r="DL116" s="1067"/>
      <c r="DM116" s="1067"/>
      <c r="DN116" s="1067"/>
      <c r="DO116" s="1067"/>
      <c r="DP116" s="1067"/>
      <c r="DQ116" s="1067"/>
      <c r="DR116" s="1067"/>
      <c r="DS116" s="1067"/>
      <c r="DT116" s="1067"/>
      <c r="DU116" s="1067"/>
      <c r="DV116" s="1067"/>
      <c r="DW116" s="1067"/>
      <c r="DX116" s="1067"/>
      <c r="DY116" s="1067"/>
      <c r="DZ116" s="1067"/>
      <c r="EA116" s="1067"/>
      <c r="EB116" s="1067"/>
      <c r="EC116" s="1067"/>
      <c r="ED116" s="1067"/>
    </row>
    <row r="117" spans="1:134" s="203" customFormat="1" ht="27" hidden="1" customHeight="1" x14ac:dyDescent="0.25">
      <c r="A117" s="1559"/>
      <c r="B117" s="1027"/>
      <c r="C117" s="1088"/>
      <c r="D117" s="1019" t="s">
        <v>4935</v>
      </c>
      <c r="E117" s="1594"/>
      <c r="F117" s="1401"/>
      <c r="G117" s="1072"/>
      <c r="H117" s="1061"/>
      <c r="I117" s="1061"/>
      <c r="J117" s="1120" t="s">
        <v>4938</v>
      </c>
      <c r="K117" s="1115" t="s">
        <v>4941</v>
      </c>
      <c r="L117" s="1115" t="s">
        <v>4944</v>
      </c>
      <c r="M117" s="1284"/>
      <c r="N117" s="1115">
        <v>0</v>
      </c>
      <c r="O117" s="1115">
        <v>0</v>
      </c>
      <c r="P117" s="1284"/>
      <c r="Q117" s="1115">
        <v>23</v>
      </c>
      <c r="R117" s="1115">
        <v>0</v>
      </c>
      <c r="S117" s="1120"/>
      <c r="T117" s="1120"/>
      <c r="U117" s="1120"/>
      <c r="V117" s="1120"/>
      <c r="W117" s="1120"/>
      <c r="X117" s="1120"/>
      <c r="Y117" s="1067"/>
      <c r="Z117" s="1067"/>
      <c r="AA117" s="1067"/>
      <c r="AB117" s="1067"/>
      <c r="AC117" s="1067"/>
      <c r="AD117" s="1067"/>
      <c r="AE117" s="1067"/>
      <c r="AF117" s="1067"/>
      <c r="AG117" s="1067"/>
      <c r="AH117" s="1067"/>
      <c r="AI117" s="1067"/>
      <c r="AJ117" s="1067"/>
      <c r="AK117" s="1067"/>
      <c r="AL117" s="1067"/>
      <c r="AM117" s="1067"/>
      <c r="AN117" s="1067"/>
      <c r="AO117" s="1067"/>
      <c r="AP117" s="1067"/>
      <c r="AQ117" s="1067"/>
      <c r="AR117" s="1067"/>
      <c r="AS117" s="1067"/>
      <c r="AU117" s="1082"/>
      <c r="AV117" s="1067"/>
      <c r="AW117" s="1067"/>
      <c r="AX117" s="1067"/>
      <c r="AY117" s="1067"/>
      <c r="AZ117" s="1067"/>
      <c r="BA117" s="1067"/>
      <c r="BB117" s="1067"/>
      <c r="BC117" s="1067"/>
      <c r="BD117" s="1067"/>
      <c r="BE117" s="1067"/>
      <c r="BF117" s="1067"/>
      <c r="BG117" s="1067"/>
      <c r="BH117" s="1067"/>
      <c r="BI117" s="1067"/>
      <c r="BJ117" s="1067"/>
      <c r="BK117" s="1067"/>
      <c r="BL117" s="1067"/>
      <c r="BM117" s="1067"/>
      <c r="BN117" s="1067"/>
      <c r="BO117" s="1067"/>
      <c r="BP117" s="1067"/>
      <c r="BQ117" s="1082"/>
      <c r="BR117" s="1067"/>
      <c r="BS117" s="1067"/>
      <c r="BT117" s="1067"/>
      <c r="BU117" s="1067"/>
      <c r="BV117" s="1067"/>
      <c r="BW117" s="1067"/>
      <c r="BX117" s="1067"/>
      <c r="BY117" s="1067"/>
      <c r="BZ117" s="1067"/>
      <c r="CA117" s="1067"/>
      <c r="CB117" s="1067"/>
      <c r="CC117" s="1067"/>
      <c r="CD117" s="1067"/>
      <c r="CE117" s="1067"/>
      <c r="CF117" s="1067"/>
      <c r="CG117" s="1067"/>
      <c r="CH117" s="1067"/>
      <c r="CI117" s="1067"/>
      <c r="CJ117" s="1067"/>
      <c r="CK117" s="1067"/>
      <c r="CL117" s="1067"/>
      <c r="CM117" s="1082"/>
      <c r="CN117" s="1067"/>
      <c r="CO117" s="1067"/>
      <c r="CP117" s="1067"/>
      <c r="CQ117" s="1067"/>
      <c r="CR117" s="1067"/>
      <c r="CS117" s="1067"/>
      <c r="CT117" s="1067"/>
      <c r="CU117" s="1067"/>
      <c r="CV117" s="1067"/>
      <c r="CW117" s="1067"/>
      <c r="CX117" s="1067"/>
      <c r="CY117" s="1067"/>
      <c r="CZ117" s="1067"/>
      <c r="DA117" s="1067"/>
      <c r="DB117" s="1067"/>
      <c r="DC117" s="1067"/>
      <c r="DD117" s="1067"/>
      <c r="DE117" s="1067"/>
      <c r="DF117" s="1067"/>
      <c r="DG117" s="1067"/>
      <c r="DH117" s="1067"/>
      <c r="DI117" s="1082"/>
      <c r="DJ117" s="1067"/>
      <c r="DK117" s="1067"/>
      <c r="DL117" s="1067"/>
      <c r="DM117" s="1067"/>
      <c r="DN117" s="1067"/>
      <c r="DO117" s="1067"/>
      <c r="DP117" s="1067"/>
      <c r="DQ117" s="1067"/>
      <c r="DR117" s="1067"/>
      <c r="DS117" s="1067"/>
      <c r="DT117" s="1067"/>
      <c r="DU117" s="1067"/>
      <c r="DV117" s="1067"/>
      <c r="DW117" s="1067"/>
      <c r="DX117" s="1067"/>
      <c r="DY117" s="1067"/>
      <c r="DZ117" s="1067"/>
      <c r="EA117" s="1067"/>
      <c r="EB117" s="1067"/>
      <c r="EC117" s="1067"/>
      <c r="ED117" s="1067"/>
    </row>
    <row r="118" spans="1:134" ht="71.25" customHeight="1" x14ac:dyDescent="0.25">
      <c r="A118" s="1559"/>
      <c r="B118" s="1019" t="s">
        <v>4443</v>
      </c>
      <c r="C118" s="1116" t="s">
        <v>4635</v>
      </c>
      <c r="D118" s="1019" t="s">
        <v>4460</v>
      </c>
      <c r="E118" s="1020">
        <v>301</v>
      </c>
      <c r="F118" s="1120" t="s">
        <v>4740</v>
      </c>
      <c r="G118" s="1120">
        <v>306000000</v>
      </c>
      <c r="H118" s="1061">
        <f t="shared" si="100"/>
        <v>276578734</v>
      </c>
      <c r="I118" s="1061">
        <f>Y118-H118</f>
        <v>43421266</v>
      </c>
      <c r="J118" s="1120" t="s">
        <v>4950</v>
      </c>
      <c r="K118" s="1115" t="s">
        <v>4954</v>
      </c>
      <c r="L118" s="1115" t="s">
        <v>4958</v>
      </c>
      <c r="M118" s="1283">
        <v>13</v>
      </c>
      <c r="N118" s="1115">
        <v>21</v>
      </c>
      <c r="O118" s="1115">
        <v>3</v>
      </c>
      <c r="P118" s="1283">
        <v>32</v>
      </c>
      <c r="Q118" s="1115">
        <v>47</v>
      </c>
      <c r="R118" s="1115">
        <v>15</v>
      </c>
      <c r="S118" s="1120"/>
      <c r="T118" s="1120"/>
      <c r="U118" s="1120"/>
      <c r="V118" s="1120"/>
      <c r="W118" s="1120"/>
      <c r="X118" s="1120"/>
      <c r="Y118" s="1008">
        <f t="shared" si="102"/>
        <v>320000000</v>
      </c>
      <c r="Z118" s="1008"/>
      <c r="AA118" s="1008"/>
      <c r="AB118" s="1008"/>
      <c r="AC118" s="1008"/>
      <c r="AD118" s="1008"/>
      <c r="AE118" s="1008"/>
      <c r="AF118" s="1008"/>
      <c r="AG118" s="1008"/>
      <c r="AH118" s="1008"/>
      <c r="AI118" s="1008"/>
      <c r="AJ118" s="1008"/>
      <c r="AK118" s="1008"/>
      <c r="AL118" s="1008"/>
      <c r="AM118" s="1008">
        <v>300000000</v>
      </c>
      <c r="AN118" s="1008"/>
      <c r="AO118" s="1008"/>
      <c r="AP118" s="1008"/>
      <c r="AQ118" s="1008"/>
      <c r="AR118" s="1008"/>
      <c r="AS118" s="1008">
        <f>1000000+5000000+11000000+3000000</f>
        <v>20000000</v>
      </c>
      <c r="AU118" s="1011">
        <f t="shared" si="103"/>
        <v>0.93057593750000001</v>
      </c>
      <c r="AV118" s="1008">
        <f t="shared" si="104"/>
        <v>297784300</v>
      </c>
      <c r="AW118" s="1008"/>
      <c r="AX118" s="1008"/>
      <c r="AY118" s="1008"/>
      <c r="AZ118" s="1008"/>
      <c r="BA118" s="1008"/>
      <c r="BB118" s="1008"/>
      <c r="BC118" s="1008"/>
      <c r="BD118" s="1008"/>
      <c r="BE118" s="1008"/>
      <c r="BF118" s="1008"/>
      <c r="BG118" s="1008"/>
      <c r="BH118" s="1008"/>
      <c r="BI118" s="1008"/>
      <c r="BJ118" s="1008">
        <f>+'[14]JUNIO 2015'!$W$749</f>
        <v>282584300</v>
      </c>
      <c r="BK118" s="1008"/>
      <c r="BL118" s="1008"/>
      <c r="BM118" s="1008"/>
      <c r="BN118" s="1008"/>
      <c r="BO118" s="1008"/>
      <c r="BP118" s="1008">
        <f>+'[16]AGOSTO 2015'!$AD$997</f>
        <v>15200000</v>
      </c>
      <c r="BQ118" s="1011">
        <f t="shared" si="105"/>
        <v>6.9424062499999994E-2</v>
      </c>
      <c r="BR118" s="1008">
        <f t="shared" si="106"/>
        <v>22215700</v>
      </c>
      <c r="BS118" s="1008">
        <f t="shared" si="125"/>
        <v>0</v>
      </c>
      <c r="BT118" s="1008">
        <f t="shared" si="126"/>
        <v>0</v>
      </c>
      <c r="BU118" s="1008"/>
      <c r="BV118" s="1008">
        <f t="shared" si="127"/>
        <v>0</v>
      </c>
      <c r="BW118" s="1008"/>
      <c r="BX118" s="1008">
        <f t="shared" si="128"/>
        <v>0</v>
      </c>
      <c r="BY118" s="1008">
        <f t="shared" si="128"/>
        <v>0</v>
      </c>
      <c r="BZ118" s="1008"/>
      <c r="CA118" s="1008">
        <f t="shared" si="129"/>
        <v>0</v>
      </c>
      <c r="CB118" s="1008">
        <f t="shared" si="129"/>
        <v>0</v>
      </c>
      <c r="CC118" s="1008">
        <f t="shared" si="129"/>
        <v>0</v>
      </c>
      <c r="CD118" s="1008">
        <f t="shared" si="129"/>
        <v>0</v>
      </c>
      <c r="CE118" s="1008">
        <f t="shared" si="129"/>
        <v>0</v>
      </c>
      <c r="CF118" s="1008">
        <f t="shared" si="129"/>
        <v>17415700</v>
      </c>
      <c r="CG118" s="1008">
        <f t="shared" si="129"/>
        <v>0</v>
      </c>
      <c r="CH118" s="1008">
        <f t="shared" si="111"/>
        <v>0</v>
      </c>
      <c r="CI118" s="1008">
        <f t="shared" si="111"/>
        <v>0</v>
      </c>
      <c r="CJ118" s="1008"/>
      <c r="CK118" s="1008"/>
      <c r="CL118" s="1008">
        <f t="shared" si="130"/>
        <v>4800000</v>
      </c>
      <c r="CM118" s="1011">
        <f t="shared" si="113"/>
        <v>0.86430854374999999</v>
      </c>
      <c r="CN118" s="1008">
        <f t="shared" si="114"/>
        <v>276578734</v>
      </c>
      <c r="CO118" s="1008"/>
      <c r="CP118" s="1008"/>
      <c r="CQ118" s="1008"/>
      <c r="CR118" s="1008"/>
      <c r="CS118" s="1008"/>
      <c r="CT118" s="1008"/>
      <c r="CU118" s="1008"/>
      <c r="CV118" s="1008"/>
      <c r="CW118" s="1008"/>
      <c r="CX118" s="1008"/>
      <c r="CY118" s="1008"/>
      <c r="CZ118" s="1008"/>
      <c r="DA118" s="1008"/>
      <c r="DB118" s="1008">
        <f>+'[18]OCTUBRE 2015'!$H$1316+'[18]OCTUBRE 2015'!$H$1318+'[18]OCTUBRE 2015'!$H$1320+'[18]OCTUBRE 2015'!$H$1349</f>
        <v>267643734</v>
      </c>
      <c r="DC118" s="1008"/>
      <c r="DD118" s="1008"/>
      <c r="DE118" s="1008"/>
      <c r="DF118" s="1008"/>
      <c r="DG118" s="1008"/>
      <c r="DH118" s="1008">
        <f>+'[18]OCTUBRE 2015'!$H$1357+'[18]OCTUBRE 2015'!$H$1355+'[18]OCTUBRE 2015'!$H$1350+'[18]OCTUBRE 2015'!$H$1347+'[18]OCTUBRE 2015'!$H$1315</f>
        <v>8935000</v>
      </c>
      <c r="DI118" s="1011">
        <f t="shared" si="115"/>
        <v>0.13569145625000001</v>
      </c>
      <c r="DJ118" s="1008">
        <f t="shared" si="116"/>
        <v>43421266</v>
      </c>
      <c r="DK118" s="1008">
        <f t="shared" si="131"/>
        <v>0</v>
      </c>
      <c r="DL118" s="1008"/>
      <c r="DM118" s="1008"/>
      <c r="DN118" s="1008">
        <f t="shared" si="132"/>
        <v>0</v>
      </c>
      <c r="DO118" s="1008"/>
      <c r="DP118" s="1008">
        <f t="shared" si="133"/>
        <v>0</v>
      </c>
      <c r="DQ118" s="1008">
        <f t="shared" si="133"/>
        <v>0</v>
      </c>
      <c r="DR118" s="1008"/>
      <c r="DS118" s="1008">
        <f t="shared" si="134"/>
        <v>0</v>
      </c>
      <c r="DT118" s="1008">
        <f t="shared" si="134"/>
        <v>0</v>
      </c>
      <c r="DU118" s="1008"/>
      <c r="DV118" s="1008">
        <f t="shared" si="135"/>
        <v>0</v>
      </c>
      <c r="DW118" s="1008">
        <f t="shared" si="135"/>
        <v>0</v>
      </c>
      <c r="DX118" s="1008">
        <f t="shared" si="135"/>
        <v>32356266</v>
      </c>
      <c r="DY118" s="1008">
        <f t="shared" si="136"/>
        <v>0</v>
      </c>
      <c r="DZ118" s="1008">
        <f t="shared" si="124"/>
        <v>0</v>
      </c>
      <c r="EA118" s="1008">
        <f t="shared" si="124"/>
        <v>0</v>
      </c>
      <c r="EB118" s="1008">
        <f t="shared" si="124"/>
        <v>0</v>
      </c>
      <c r="EC118" s="1008"/>
      <c r="ED118" s="1008">
        <f t="shared" si="137"/>
        <v>11065000</v>
      </c>
    </row>
    <row r="119" spans="1:134" s="203" customFormat="1" ht="27.75" hidden="1" customHeight="1" x14ac:dyDescent="0.25">
      <c r="A119" s="1559"/>
      <c r="B119" s="1019"/>
      <c r="C119" s="1081"/>
      <c r="D119" s="1019" t="s">
        <v>4945</v>
      </c>
      <c r="E119" s="1020"/>
      <c r="F119" s="1120"/>
      <c r="G119" s="1120"/>
      <c r="H119" s="1061"/>
      <c r="I119" s="1061"/>
      <c r="J119" s="1120" t="s">
        <v>4948</v>
      </c>
      <c r="K119" s="1115" t="s">
        <v>4952</v>
      </c>
      <c r="L119" s="1115" t="s">
        <v>4956</v>
      </c>
      <c r="M119" s="1573"/>
      <c r="N119" s="1115">
        <v>31</v>
      </c>
      <c r="O119" s="1115">
        <v>4</v>
      </c>
      <c r="P119" s="1573"/>
      <c r="Q119" s="1115">
        <v>31</v>
      </c>
      <c r="R119" s="1115">
        <v>0</v>
      </c>
      <c r="S119" s="1120"/>
      <c r="T119" s="1120"/>
      <c r="U119" s="1120"/>
      <c r="V119" s="1120"/>
      <c r="W119" s="1120"/>
      <c r="X119" s="1120"/>
      <c r="Y119" s="1067"/>
      <c r="Z119" s="1067"/>
      <c r="AA119" s="1067"/>
      <c r="AB119" s="1067"/>
      <c r="AC119" s="1067"/>
      <c r="AD119" s="1067"/>
      <c r="AE119" s="1067"/>
      <c r="AF119" s="1067"/>
      <c r="AG119" s="1067"/>
      <c r="AH119" s="1067"/>
      <c r="AI119" s="1067"/>
      <c r="AJ119" s="1067"/>
      <c r="AK119" s="1067"/>
      <c r="AL119" s="1067"/>
      <c r="AM119" s="1067"/>
      <c r="AN119" s="1067"/>
      <c r="AO119" s="1067"/>
      <c r="AP119" s="1067"/>
      <c r="AQ119" s="1067"/>
      <c r="AR119" s="1067"/>
      <c r="AS119" s="1067"/>
      <c r="AU119" s="1082"/>
      <c r="AV119" s="1067"/>
      <c r="AW119" s="1067"/>
      <c r="AX119" s="1067"/>
      <c r="AY119" s="1067"/>
      <c r="AZ119" s="1067"/>
      <c r="BA119" s="1067"/>
      <c r="BB119" s="1067"/>
      <c r="BC119" s="1067"/>
      <c r="BD119" s="1067"/>
      <c r="BE119" s="1067"/>
      <c r="BF119" s="1067"/>
      <c r="BG119" s="1067"/>
      <c r="BH119" s="1067"/>
      <c r="BI119" s="1067"/>
      <c r="BJ119" s="1067"/>
      <c r="BK119" s="1067"/>
      <c r="BL119" s="1067"/>
      <c r="BM119" s="1067"/>
      <c r="BN119" s="1067"/>
      <c r="BO119" s="1067"/>
      <c r="BP119" s="1067"/>
      <c r="BQ119" s="1082"/>
      <c r="BR119" s="1067"/>
      <c r="BS119" s="1067"/>
      <c r="BT119" s="1067"/>
      <c r="BU119" s="1067"/>
      <c r="BV119" s="1067"/>
      <c r="BW119" s="1067"/>
      <c r="BX119" s="1067"/>
      <c r="BY119" s="1067"/>
      <c r="BZ119" s="1067"/>
      <c r="CA119" s="1067"/>
      <c r="CB119" s="1067"/>
      <c r="CC119" s="1067"/>
      <c r="CD119" s="1067"/>
      <c r="CE119" s="1067"/>
      <c r="CF119" s="1067"/>
      <c r="CG119" s="1067"/>
      <c r="CH119" s="1067"/>
      <c r="CI119" s="1067"/>
      <c r="CJ119" s="1067"/>
      <c r="CK119" s="1067"/>
      <c r="CL119" s="1067"/>
      <c r="CM119" s="1082"/>
      <c r="CN119" s="1067"/>
      <c r="CO119" s="1067"/>
      <c r="CP119" s="1067"/>
      <c r="CQ119" s="1067"/>
      <c r="CR119" s="1067"/>
      <c r="CS119" s="1067"/>
      <c r="CT119" s="1067"/>
      <c r="CU119" s="1067"/>
      <c r="CV119" s="1067"/>
      <c r="CW119" s="1067"/>
      <c r="CX119" s="1067"/>
      <c r="CY119" s="1067"/>
      <c r="CZ119" s="1067"/>
      <c r="DA119" s="1067"/>
      <c r="DB119" s="1067"/>
      <c r="DC119" s="1067"/>
      <c r="DD119" s="1067"/>
      <c r="DE119" s="1067"/>
      <c r="DF119" s="1067"/>
      <c r="DG119" s="1067"/>
      <c r="DH119" s="1067"/>
      <c r="DI119" s="1082"/>
      <c r="DJ119" s="1067"/>
      <c r="DK119" s="1067"/>
      <c r="DL119" s="1067"/>
      <c r="DM119" s="1067"/>
      <c r="DN119" s="1067"/>
      <c r="DO119" s="1067"/>
      <c r="DP119" s="1067"/>
      <c r="DQ119" s="1067"/>
      <c r="DR119" s="1067"/>
      <c r="DS119" s="1067"/>
      <c r="DT119" s="1067"/>
      <c r="DU119" s="1067"/>
      <c r="DV119" s="1067"/>
      <c r="DW119" s="1067"/>
      <c r="DX119" s="1067"/>
      <c r="DY119" s="1067"/>
      <c r="DZ119" s="1067"/>
      <c r="EA119" s="1067"/>
      <c r="EB119" s="1067"/>
      <c r="EC119" s="1067"/>
      <c r="ED119" s="1067"/>
    </row>
    <row r="120" spans="1:134" s="203" customFormat="1" ht="21.75" hidden="1" customHeight="1" x14ac:dyDescent="0.25">
      <c r="A120" s="1559"/>
      <c r="B120" s="1019"/>
      <c r="C120" s="1081"/>
      <c r="D120" s="1019" t="s">
        <v>4946</v>
      </c>
      <c r="E120" s="1020"/>
      <c r="F120" s="1120"/>
      <c r="G120" s="1120"/>
      <c r="H120" s="1061"/>
      <c r="I120" s="1061"/>
      <c r="J120" s="1120" t="s">
        <v>4949</v>
      </c>
      <c r="K120" s="1115" t="s">
        <v>4953</v>
      </c>
      <c r="L120" s="1115" t="s">
        <v>4957</v>
      </c>
      <c r="M120" s="1573"/>
      <c r="N120" s="1115">
        <v>32</v>
      </c>
      <c r="O120" s="1115">
        <v>4</v>
      </c>
      <c r="P120" s="1573"/>
      <c r="Q120" s="1115">
        <v>66</v>
      </c>
      <c r="R120" s="1115">
        <v>0</v>
      </c>
      <c r="S120" s="1120"/>
      <c r="T120" s="1120"/>
      <c r="U120" s="1120"/>
      <c r="V120" s="1120"/>
      <c r="W120" s="1120"/>
      <c r="X120" s="1120"/>
      <c r="Y120" s="1067"/>
      <c r="Z120" s="1067"/>
      <c r="AA120" s="1067"/>
      <c r="AB120" s="1067"/>
      <c r="AC120" s="1067"/>
      <c r="AD120" s="1067"/>
      <c r="AE120" s="1067"/>
      <c r="AF120" s="1067"/>
      <c r="AG120" s="1067"/>
      <c r="AH120" s="1067"/>
      <c r="AI120" s="1067"/>
      <c r="AJ120" s="1067"/>
      <c r="AK120" s="1067"/>
      <c r="AL120" s="1067"/>
      <c r="AM120" s="1067"/>
      <c r="AN120" s="1067"/>
      <c r="AO120" s="1067"/>
      <c r="AP120" s="1067"/>
      <c r="AQ120" s="1067"/>
      <c r="AR120" s="1067"/>
      <c r="AS120" s="1067"/>
      <c r="AU120" s="1082"/>
      <c r="AV120" s="1067"/>
      <c r="AW120" s="1067"/>
      <c r="AX120" s="1067"/>
      <c r="AY120" s="1067"/>
      <c r="AZ120" s="1067"/>
      <c r="BA120" s="1067"/>
      <c r="BB120" s="1067"/>
      <c r="BC120" s="1067"/>
      <c r="BD120" s="1067"/>
      <c r="BE120" s="1067"/>
      <c r="BF120" s="1067"/>
      <c r="BG120" s="1067"/>
      <c r="BH120" s="1067"/>
      <c r="BI120" s="1067"/>
      <c r="BJ120" s="1067"/>
      <c r="BK120" s="1067"/>
      <c r="BL120" s="1067"/>
      <c r="BM120" s="1067"/>
      <c r="BN120" s="1067"/>
      <c r="BO120" s="1067"/>
      <c r="BP120" s="1067"/>
      <c r="BQ120" s="1082"/>
      <c r="BR120" s="1067"/>
      <c r="BS120" s="1067"/>
      <c r="BT120" s="1067"/>
      <c r="BU120" s="1067"/>
      <c r="BV120" s="1067"/>
      <c r="BW120" s="1067"/>
      <c r="BX120" s="1067"/>
      <c r="BY120" s="1067"/>
      <c r="BZ120" s="1067"/>
      <c r="CA120" s="1067"/>
      <c r="CB120" s="1067"/>
      <c r="CC120" s="1067"/>
      <c r="CD120" s="1067"/>
      <c r="CE120" s="1067"/>
      <c r="CF120" s="1067"/>
      <c r="CG120" s="1067"/>
      <c r="CH120" s="1067"/>
      <c r="CI120" s="1067"/>
      <c r="CJ120" s="1067"/>
      <c r="CK120" s="1067"/>
      <c r="CL120" s="1067"/>
      <c r="CM120" s="1082"/>
      <c r="CN120" s="1067"/>
      <c r="CO120" s="1067"/>
      <c r="CP120" s="1067"/>
      <c r="CQ120" s="1067"/>
      <c r="CR120" s="1067"/>
      <c r="CS120" s="1067"/>
      <c r="CT120" s="1067"/>
      <c r="CU120" s="1067"/>
      <c r="CV120" s="1067"/>
      <c r="CW120" s="1067"/>
      <c r="CX120" s="1067"/>
      <c r="CY120" s="1067"/>
      <c r="CZ120" s="1067"/>
      <c r="DA120" s="1067"/>
      <c r="DB120" s="1067"/>
      <c r="DC120" s="1067"/>
      <c r="DD120" s="1067"/>
      <c r="DE120" s="1067"/>
      <c r="DF120" s="1067"/>
      <c r="DG120" s="1067"/>
      <c r="DH120" s="1067"/>
      <c r="DI120" s="1082"/>
      <c r="DJ120" s="1067"/>
      <c r="DK120" s="1067"/>
      <c r="DL120" s="1067"/>
      <c r="DM120" s="1067"/>
      <c r="DN120" s="1067"/>
      <c r="DO120" s="1067"/>
      <c r="DP120" s="1067"/>
      <c r="DQ120" s="1067"/>
      <c r="DR120" s="1067"/>
      <c r="DS120" s="1067"/>
      <c r="DT120" s="1067"/>
      <c r="DU120" s="1067"/>
      <c r="DV120" s="1067"/>
      <c r="DW120" s="1067"/>
      <c r="DX120" s="1067"/>
      <c r="DY120" s="1067"/>
      <c r="DZ120" s="1067"/>
      <c r="EA120" s="1067"/>
      <c r="EB120" s="1067"/>
      <c r="EC120" s="1067"/>
      <c r="ED120" s="1067"/>
    </row>
    <row r="121" spans="1:134" s="203" customFormat="1" ht="27" hidden="1" customHeight="1" x14ac:dyDescent="0.25">
      <c r="A121" s="1559"/>
      <c r="B121" s="1019"/>
      <c r="C121" s="1081"/>
      <c r="D121" s="1019" t="s">
        <v>4947</v>
      </c>
      <c r="E121" s="1020"/>
      <c r="F121" s="1120"/>
      <c r="G121" s="1120"/>
      <c r="H121" s="1061"/>
      <c r="I121" s="1061"/>
      <c r="J121" s="1120" t="s">
        <v>4951</v>
      </c>
      <c r="K121" s="1115" t="s">
        <v>4955</v>
      </c>
      <c r="L121" s="1115" t="s">
        <v>4959</v>
      </c>
      <c r="M121" s="1284"/>
      <c r="N121" s="1115">
        <v>42</v>
      </c>
      <c r="O121" s="1115">
        <v>5</v>
      </c>
      <c r="P121" s="1284"/>
      <c r="Q121" s="1115">
        <v>87</v>
      </c>
      <c r="R121" s="1115">
        <v>0</v>
      </c>
      <c r="S121" s="1120"/>
      <c r="T121" s="1120"/>
      <c r="U121" s="1120"/>
      <c r="V121" s="1120"/>
      <c r="W121" s="1120"/>
      <c r="X121" s="1120"/>
      <c r="Y121" s="1067"/>
      <c r="Z121" s="1067"/>
      <c r="AA121" s="1067"/>
      <c r="AB121" s="1067"/>
      <c r="AC121" s="1067"/>
      <c r="AD121" s="1067"/>
      <c r="AE121" s="1067"/>
      <c r="AF121" s="1067"/>
      <c r="AG121" s="1067"/>
      <c r="AH121" s="1067"/>
      <c r="AI121" s="1067"/>
      <c r="AJ121" s="1067"/>
      <c r="AK121" s="1067"/>
      <c r="AL121" s="1067"/>
      <c r="AM121" s="1067"/>
      <c r="AN121" s="1067"/>
      <c r="AO121" s="1067"/>
      <c r="AP121" s="1067"/>
      <c r="AQ121" s="1067"/>
      <c r="AR121" s="1067"/>
      <c r="AS121" s="1067"/>
      <c r="AU121" s="1082"/>
      <c r="AV121" s="1067"/>
      <c r="AW121" s="1067"/>
      <c r="AX121" s="1067"/>
      <c r="AY121" s="1067"/>
      <c r="AZ121" s="1067"/>
      <c r="BA121" s="1067"/>
      <c r="BB121" s="1067"/>
      <c r="BC121" s="1067"/>
      <c r="BD121" s="1067"/>
      <c r="BE121" s="1067"/>
      <c r="BF121" s="1067"/>
      <c r="BG121" s="1067"/>
      <c r="BH121" s="1067"/>
      <c r="BI121" s="1067"/>
      <c r="BJ121" s="1067"/>
      <c r="BK121" s="1067"/>
      <c r="BL121" s="1067"/>
      <c r="BM121" s="1067"/>
      <c r="BN121" s="1067"/>
      <c r="BO121" s="1067"/>
      <c r="BP121" s="1067"/>
      <c r="BQ121" s="1082"/>
      <c r="BR121" s="1067"/>
      <c r="BS121" s="1067"/>
      <c r="BT121" s="1067"/>
      <c r="BU121" s="1067"/>
      <c r="BV121" s="1067"/>
      <c r="BW121" s="1067"/>
      <c r="BX121" s="1067"/>
      <c r="BY121" s="1067"/>
      <c r="BZ121" s="1067"/>
      <c r="CA121" s="1067"/>
      <c r="CB121" s="1067"/>
      <c r="CC121" s="1067"/>
      <c r="CD121" s="1067"/>
      <c r="CE121" s="1067"/>
      <c r="CF121" s="1067"/>
      <c r="CG121" s="1067"/>
      <c r="CH121" s="1067"/>
      <c r="CI121" s="1067"/>
      <c r="CJ121" s="1067"/>
      <c r="CK121" s="1067"/>
      <c r="CL121" s="1067"/>
      <c r="CM121" s="1082"/>
      <c r="CN121" s="1067"/>
      <c r="CO121" s="1067"/>
      <c r="CP121" s="1067"/>
      <c r="CQ121" s="1067"/>
      <c r="CR121" s="1067"/>
      <c r="CS121" s="1067"/>
      <c r="CT121" s="1067"/>
      <c r="CU121" s="1067"/>
      <c r="CV121" s="1067"/>
      <c r="CW121" s="1067"/>
      <c r="CX121" s="1067"/>
      <c r="CY121" s="1067"/>
      <c r="CZ121" s="1067"/>
      <c r="DA121" s="1067"/>
      <c r="DB121" s="1067"/>
      <c r="DC121" s="1067"/>
      <c r="DD121" s="1067"/>
      <c r="DE121" s="1067"/>
      <c r="DF121" s="1067"/>
      <c r="DG121" s="1067"/>
      <c r="DH121" s="1067"/>
      <c r="DI121" s="1082"/>
      <c r="DJ121" s="1067"/>
      <c r="DK121" s="1067"/>
      <c r="DL121" s="1067"/>
      <c r="DM121" s="1067"/>
      <c r="DN121" s="1067"/>
      <c r="DO121" s="1067"/>
      <c r="DP121" s="1067"/>
      <c r="DQ121" s="1067"/>
      <c r="DR121" s="1067"/>
      <c r="DS121" s="1067"/>
      <c r="DT121" s="1067"/>
      <c r="DU121" s="1067"/>
      <c r="DV121" s="1067"/>
      <c r="DW121" s="1067"/>
      <c r="DX121" s="1067"/>
      <c r="DY121" s="1067"/>
      <c r="DZ121" s="1067"/>
      <c r="EA121" s="1067"/>
      <c r="EB121" s="1067"/>
      <c r="EC121" s="1067"/>
      <c r="ED121" s="1067"/>
    </row>
    <row r="122" spans="1:134" ht="36.75" customHeight="1" x14ac:dyDescent="0.25">
      <c r="A122" s="1559"/>
      <c r="B122" s="1019" t="s">
        <v>4444</v>
      </c>
      <c r="C122" s="1116" t="s">
        <v>4636</v>
      </c>
      <c r="D122" s="1019" t="s">
        <v>4960</v>
      </c>
      <c r="E122" s="1020">
        <v>301</v>
      </c>
      <c r="F122" s="1120" t="s">
        <v>4741</v>
      </c>
      <c r="G122" s="1120">
        <v>67000000</v>
      </c>
      <c r="H122" s="1061">
        <f t="shared" si="100"/>
        <v>3045000</v>
      </c>
      <c r="I122" s="1061">
        <f>Y122-H122</f>
        <v>19955000</v>
      </c>
      <c r="J122" s="1120" t="s">
        <v>4962</v>
      </c>
      <c r="K122" s="1115" t="s">
        <v>4963</v>
      </c>
      <c r="L122" s="1115" t="s">
        <v>4965</v>
      </c>
      <c r="M122" s="1283">
        <v>0</v>
      </c>
      <c r="N122" s="1115">
        <v>0</v>
      </c>
      <c r="O122" s="1115">
        <v>0</v>
      </c>
      <c r="P122" s="1283">
        <v>15</v>
      </c>
      <c r="Q122" s="1115">
        <v>0</v>
      </c>
      <c r="R122" s="1115">
        <v>0</v>
      </c>
      <c r="S122" s="1120"/>
      <c r="T122" s="1120"/>
      <c r="U122" s="1120"/>
      <c r="V122" s="1120"/>
      <c r="W122" s="1120"/>
      <c r="X122" s="1120"/>
      <c r="Y122" s="1008">
        <f t="shared" si="102"/>
        <v>23000000</v>
      </c>
      <c r="Z122" s="1008"/>
      <c r="AA122" s="1008"/>
      <c r="AB122" s="1008"/>
      <c r="AC122" s="1008"/>
      <c r="AD122" s="1008"/>
      <c r="AE122" s="1008"/>
      <c r="AF122" s="1008"/>
      <c r="AG122" s="1008"/>
      <c r="AH122" s="1008"/>
      <c r="AI122" s="1008"/>
      <c r="AJ122" s="1008"/>
      <c r="AK122" s="1008"/>
      <c r="AL122" s="1008"/>
      <c r="AM122" s="1008">
        <f>67000000-52000000</f>
        <v>15000000</v>
      </c>
      <c r="AN122" s="1008"/>
      <c r="AO122" s="1008"/>
      <c r="AP122" s="1008"/>
      <c r="AQ122" s="1008"/>
      <c r="AR122" s="1008"/>
      <c r="AS122" s="1008">
        <f>5000000+3000000</f>
        <v>8000000</v>
      </c>
      <c r="AU122" s="1011">
        <f t="shared" si="103"/>
        <v>1</v>
      </c>
      <c r="AV122" s="1008">
        <f t="shared" si="104"/>
        <v>23000000</v>
      </c>
      <c r="AW122" s="1008"/>
      <c r="AX122" s="1008"/>
      <c r="AY122" s="1008"/>
      <c r="AZ122" s="1008"/>
      <c r="BA122" s="1008"/>
      <c r="BB122" s="1008"/>
      <c r="BC122" s="1008"/>
      <c r="BD122" s="1008"/>
      <c r="BE122" s="1008"/>
      <c r="BF122" s="1008"/>
      <c r="BG122" s="1008"/>
      <c r="BH122" s="1008"/>
      <c r="BI122" s="1008"/>
      <c r="BJ122" s="1008">
        <f>+'[10]MARZO 2015'!$V$535</f>
        <v>15000000</v>
      </c>
      <c r="BK122" s="1008"/>
      <c r="BL122" s="1008"/>
      <c r="BM122" s="1008"/>
      <c r="BN122" s="1008"/>
      <c r="BO122" s="1008"/>
      <c r="BP122" s="1008">
        <f>+'[17]SEPTIEMBRE 2015'!$AD$1193</f>
        <v>8000000</v>
      </c>
      <c r="BQ122" s="1011">
        <f t="shared" si="105"/>
        <v>0</v>
      </c>
      <c r="BR122" s="1008">
        <f t="shared" si="106"/>
        <v>0</v>
      </c>
      <c r="BS122" s="1008">
        <f t="shared" si="125"/>
        <v>0</v>
      </c>
      <c r="BT122" s="1008">
        <f t="shared" si="126"/>
        <v>0</v>
      </c>
      <c r="BU122" s="1008"/>
      <c r="BV122" s="1008">
        <f t="shared" si="127"/>
        <v>0</v>
      </c>
      <c r="BW122" s="1008"/>
      <c r="BX122" s="1008">
        <f t="shared" si="128"/>
        <v>0</v>
      </c>
      <c r="BY122" s="1008">
        <f t="shared" si="128"/>
        <v>0</v>
      </c>
      <c r="BZ122" s="1008"/>
      <c r="CA122" s="1008"/>
      <c r="CB122" s="1008"/>
      <c r="CC122" s="1008"/>
      <c r="CD122" s="1008">
        <f t="shared" si="129"/>
        <v>0</v>
      </c>
      <c r="CE122" s="1008">
        <f t="shared" si="129"/>
        <v>0</v>
      </c>
      <c r="CF122" s="1008">
        <f t="shared" si="129"/>
        <v>0</v>
      </c>
      <c r="CG122" s="1008">
        <f t="shared" si="129"/>
        <v>0</v>
      </c>
      <c r="CH122" s="1008">
        <f t="shared" si="111"/>
        <v>0</v>
      </c>
      <c r="CI122" s="1008">
        <f t="shared" si="111"/>
        <v>0</v>
      </c>
      <c r="CJ122" s="1008"/>
      <c r="CK122" s="1008"/>
      <c r="CL122" s="1008">
        <f t="shared" si="130"/>
        <v>0</v>
      </c>
      <c r="CM122" s="1011">
        <f t="shared" si="113"/>
        <v>0.13239130434782609</v>
      </c>
      <c r="CN122" s="1008">
        <f t="shared" si="114"/>
        <v>3045000</v>
      </c>
      <c r="CO122" s="1008"/>
      <c r="CP122" s="1008"/>
      <c r="CQ122" s="1008"/>
      <c r="CR122" s="1008"/>
      <c r="CS122" s="1008"/>
      <c r="CT122" s="1008"/>
      <c r="CU122" s="1008"/>
      <c r="CV122" s="1008"/>
      <c r="CW122" s="1008"/>
      <c r="CX122" s="1008"/>
      <c r="CY122" s="1008"/>
      <c r="CZ122" s="1008"/>
      <c r="DA122" s="1008"/>
      <c r="DB122" s="1008"/>
      <c r="DC122" s="1008"/>
      <c r="DD122" s="1008"/>
      <c r="DE122" s="1008"/>
      <c r="DF122" s="1008"/>
      <c r="DG122" s="1008"/>
      <c r="DH122" s="1008">
        <f>+'[14]JUNIO 2015'!$H$782</f>
        <v>3045000</v>
      </c>
      <c r="DI122" s="1011">
        <f t="shared" si="115"/>
        <v>0.86760869565217391</v>
      </c>
      <c r="DJ122" s="1008">
        <f t="shared" si="116"/>
        <v>19955000</v>
      </c>
      <c r="DK122" s="1008">
        <f t="shared" si="131"/>
        <v>0</v>
      </c>
      <c r="DL122" s="1008"/>
      <c r="DM122" s="1008"/>
      <c r="DN122" s="1008">
        <f t="shared" si="132"/>
        <v>0</v>
      </c>
      <c r="DO122" s="1008"/>
      <c r="DP122" s="1008">
        <f t="shared" si="133"/>
        <v>0</v>
      </c>
      <c r="DQ122" s="1008">
        <f t="shared" si="133"/>
        <v>0</v>
      </c>
      <c r="DR122" s="1008"/>
      <c r="DS122" s="1008">
        <f t="shared" si="134"/>
        <v>0</v>
      </c>
      <c r="DT122" s="1008">
        <f t="shared" si="134"/>
        <v>0</v>
      </c>
      <c r="DU122" s="1008"/>
      <c r="DV122" s="1008">
        <f t="shared" si="135"/>
        <v>0</v>
      </c>
      <c r="DW122" s="1008">
        <f t="shared" si="135"/>
        <v>0</v>
      </c>
      <c r="DX122" s="1008">
        <f t="shared" si="135"/>
        <v>15000000</v>
      </c>
      <c r="DY122" s="1008">
        <f t="shared" si="136"/>
        <v>0</v>
      </c>
      <c r="DZ122" s="1008">
        <f t="shared" si="124"/>
        <v>0</v>
      </c>
      <c r="EA122" s="1008">
        <f t="shared" si="124"/>
        <v>0</v>
      </c>
      <c r="EB122" s="1008">
        <f t="shared" si="124"/>
        <v>0</v>
      </c>
      <c r="EC122" s="1008"/>
      <c r="ED122" s="1008">
        <f t="shared" si="137"/>
        <v>4955000</v>
      </c>
    </row>
    <row r="123" spans="1:134" s="203" customFormat="1" ht="29.25" hidden="1" customHeight="1" x14ac:dyDescent="0.25">
      <c r="A123" s="1559"/>
      <c r="B123" s="1019"/>
      <c r="C123" s="1081"/>
      <c r="D123" s="1019" t="s">
        <v>4961</v>
      </c>
      <c r="E123" s="1020"/>
      <c r="F123" s="1120"/>
      <c r="G123" s="1124"/>
      <c r="H123" s="1061"/>
      <c r="I123" s="1061"/>
      <c r="J123" s="1120" t="s">
        <v>4778</v>
      </c>
      <c r="K123" s="1115" t="s">
        <v>4964</v>
      </c>
      <c r="L123" s="1115" t="s">
        <v>4778</v>
      </c>
      <c r="M123" s="1284"/>
      <c r="N123" s="1115">
        <v>0</v>
      </c>
      <c r="O123" s="1115">
        <v>0</v>
      </c>
      <c r="P123" s="1284"/>
      <c r="Q123" s="1115">
        <v>110</v>
      </c>
      <c r="R123" s="1115">
        <v>0</v>
      </c>
      <c r="S123" s="1120"/>
      <c r="T123" s="1120"/>
      <c r="U123" s="1120"/>
      <c r="V123" s="1120"/>
      <c r="W123" s="1120"/>
      <c r="X123" s="1120"/>
      <c r="Y123" s="1067"/>
      <c r="Z123" s="1067"/>
      <c r="AA123" s="1067"/>
      <c r="AB123" s="1067"/>
      <c r="AC123" s="1067"/>
      <c r="AD123" s="1067"/>
      <c r="AE123" s="1067"/>
      <c r="AF123" s="1067"/>
      <c r="AG123" s="1067"/>
      <c r="AH123" s="1067"/>
      <c r="AI123" s="1067"/>
      <c r="AJ123" s="1067"/>
      <c r="AK123" s="1067"/>
      <c r="AL123" s="1067"/>
      <c r="AM123" s="1067"/>
      <c r="AN123" s="1067"/>
      <c r="AO123" s="1067"/>
      <c r="AP123" s="1067"/>
      <c r="AQ123" s="1067"/>
      <c r="AR123" s="1067"/>
      <c r="AS123" s="1067"/>
      <c r="AU123" s="1082"/>
      <c r="AV123" s="1067"/>
      <c r="AW123" s="1067"/>
      <c r="AX123" s="1067"/>
      <c r="AY123" s="1067"/>
      <c r="AZ123" s="1067"/>
      <c r="BA123" s="1067"/>
      <c r="BB123" s="1067"/>
      <c r="BC123" s="1067"/>
      <c r="BD123" s="1067"/>
      <c r="BE123" s="1067"/>
      <c r="BF123" s="1067"/>
      <c r="BG123" s="1067"/>
      <c r="BH123" s="1067"/>
      <c r="BI123" s="1067"/>
      <c r="BJ123" s="1067"/>
      <c r="BK123" s="1067"/>
      <c r="BL123" s="1067"/>
      <c r="BM123" s="1067"/>
      <c r="BN123" s="1067"/>
      <c r="BO123" s="1067"/>
      <c r="BP123" s="1067"/>
      <c r="BQ123" s="1082"/>
      <c r="BR123" s="1067"/>
      <c r="BS123" s="1067"/>
      <c r="BT123" s="1067"/>
      <c r="BU123" s="1067"/>
      <c r="BV123" s="1067"/>
      <c r="BW123" s="1067"/>
      <c r="BX123" s="1067"/>
      <c r="BY123" s="1067"/>
      <c r="BZ123" s="1067"/>
      <c r="CA123" s="1067"/>
      <c r="CB123" s="1067"/>
      <c r="CC123" s="1067"/>
      <c r="CD123" s="1067"/>
      <c r="CE123" s="1067"/>
      <c r="CF123" s="1067"/>
      <c r="CG123" s="1067"/>
      <c r="CH123" s="1067"/>
      <c r="CI123" s="1067"/>
      <c r="CJ123" s="1067"/>
      <c r="CK123" s="1067"/>
      <c r="CL123" s="1067"/>
      <c r="CM123" s="1082"/>
      <c r="CN123" s="1067"/>
      <c r="CO123" s="1067"/>
      <c r="CP123" s="1067"/>
      <c r="CQ123" s="1067"/>
      <c r="CR123" s="1067"/>
      <c r="CS123" s="1067"/>
      <c r="CT123" s="1067"/>
      <c r="CU123" s="1067"/>
      <c r="CV123" s="1067"/>
      <c r="CW123" s="1067"/>
      <c r="CX123" s="1067"/>
      <c r="CY123" s="1067"/>
      <c r="CZ123" s="1067"/>
      <c r="DA123" s="1067"/>
      <c r="DB123" s="1067"/>
      <c r="DC123" s="1067"/>
      <c r="DD123" s="1067"/>
      <c r="DE123" s="1067"/>
      <c r="DF123" s="1067"/>
      <c r="DG123" s="1067"/>
      <c r="DH123" s="1067"/>
      <c r="DI123" s="1082"/>
      <c r="DJ123" s="1067"/>
      <c r="DK123" s="1067"/>
      <c r="DL123" s="1067"/>
      <c r="DM123" s="1067"/>
      <c r="DN123" s="1067"/>
      <c r="DO123" s="1067"/>
      <c r="DP123" s="1067"/>
      <c r="DQ123" s="1067"/>
      <c r="DR123" s="1067"/>
      <c r="DS123" s="1067"/>
      <c r="DT123" s="1067"/>
      <c r="DU123" s="1067"/>
      <c r="DV123" s="1067"/>
      <c r="DW123" s="1067"/>
      <c r="DX123" s="1067"/>
      <c r="DY123" s="1067"/>
      <c r="DZ123" s="1067"/>
      <c r="EA123" s="1067"/>
      <c r="EB123" s="1067"/>
      <c r="EC123" s="1067"/>
      <c r="ED123" s="1067"/>
    </row>
    <row r="124" spans="1:134" ht="36" customHeight="1" x14ac:dyDescent="0.25">
      <c r="A124" s="1559"/>
      <c r="B124" s="1019" t="s">
        <v>4445</v>
      </c>
      <c r="C124" s="1116" t="s">
        <v>4466</v>
      </c>
      <c r="D124" s="1019" t="s">
        <v>4637</v>
      </c>
      <c r="E124" s="1020">
        <v>301</v>
      </c>
      <c r="F124" s="1120" t="s">
        <v>4661</v>
      </c>
      <c r="G124" s="1399">
        <v>900000000</v>
      </c>
      <c r="H124" s="1061">
        <f t="shared" si="100"/>
        <v>1110451728</v>
      </c>
      <c r="I124" s="1061">
        <f>Y124-H124</f>
        <v>27985072</v>
      </c>
      <c r="J124" s="1120" t="s">
        <v>4967</v>
      </c>
      <c r="K124" s="1115" t="s">
        <v>4969</v>
      </c>
      <c r="L124" s="1115" t="s">
        <v>4971</v>
      </c>
      <c r="M124" s="1283">
        <v>33</v>
      </c>
      <c r="N124" s="1115">
        <v>8</v>
      </c>
      <c r="O124" s="1283">
        <v>3</v>
      </c>
      <c r="P124" s="1283">
        <v>99</v>
      </c>
      <c r="Q124" s="1115">
        <v>22</v>
      </c>
      <c r="R124" s="1115">
        <v>22</v>
      </c>
      <c r="S124" s="1120"/>
      <c r="T124" s="1120"/>
      <c r="U124" s="1120"/>
      <c r="V124" s="1120"/>
      <c r="W124" s="1120"/>
      <c r="X124" s="1120"/>
      <c r="Y124" s="1008">
        <f t="shared" si="102"/>
        <v>1138436800</v>
      </c>
      <c r="Z124" s="1008">
        <v>24079469</v>
      </c>
      <c r="AA124" s="1008"/>
      <c r="AB124" s="1008"/>
      <c r="AC124" s="1008"/>
      <c r="AD124" s="1008"/>
      <c r="AE124" s="1008"/>
      <c r="AF124" s="1008"/>
      <c r="AG124" s="1008"/>
      <c r="AH124" s="1008"/>
      <c r="AI124" s="1008"/>
      <c r="AJ124" s="1008"/>
      <c r="AK124" s="1008"/>
      <c r="AL124" s="1008"/>
      <c r="AM124" s="1008">
        <v>52000000</v>
      </c>
      <c r="AN124" s="1008">
        <v>109019196</v>
      </c>
      <c r="AO124" s="1008">
        <f>47588221+35749914</f>
        <v>83338135</v>
      </c>
      <c r="AP124" s="1008">
        <v>870000000</v>
      </c>
      <c r="AQ124" s="1008"/>
      <c r="AR124" s="1008"/>
      <c r="AS124" s="1008"/>
      <c r="AU124" s="1011">
        <f t="shared" si="103"/>
        <v>0.97942611131333768</v>
      </c>
      <c r="AV124" s="1008">
        <f t="shared" si="104"/>
        <v>1115014728</v>
      </c>
      <c r="AW124" s="1008">
        <f>+'[17]SEPTIEMBRE 2015'!$J$1202</f>
        <v>23245422</v>
      </c>
      <c r="AX124" s="1008"/>
      <c r="AY124" s="1008"/>
      <c r="AZ124" s="1008"/>
      <c r="BA124" s="1008"/>
      <c r="BB124" s="1008"/>
      <c r="BC124" s="1008"/>
      <c r="BD124" s="1008"/>
      <c r="BE124" s="1008"/>
      <c r="BF124" s="1008"/>
      <c r="BG124" s="1008"/>
      <c r="BH124" s="1008"/>
      <c r="BI124" s="1008"/>
      <c r="BJ124" s="1008">
        <f>+'[14]JUNIO 2015'!$W$788</f>
        <v>52000000</v>
      </c>
      <c r="BK124" s="1008">
        <f>+'[14]JUNIO 2015'!$X$788</f>
        <v>109019196</v>
      </c>
      <c r="BL124" s="1008">
        <f>+'[18]OCTUBRE 2015'!$Y$1372</f>
        <v>60750110</v>
      </c>
      <c r="BM124" s="1008">
        <f>+'[14]JUNIO 2015'!$Z$788</f>
        <v>870000000</v>
      </c>
      <c r="BN124" s="1008"/>
      <c r="BO124" s="1008"/>
      <c r="BP124" s="1008"/>
      <c r="BQ124" s="1011">
        <f t="shared" si="105"/>
        <v>2.0573888686662323E-2</v>
      </c>
      <c r="BR124" s="1008">
        <f t="shared" si="106"/>
        <v>23422072</v>
      </c>
      <c r="BS124" s="1008">
        <f t="shared" si="125"/>
        <v>834047</v>
      </c>
      <c r="BT124" s="1008">
        <f t="shared" si="126"/>
        <v>0</v>
      </c>
      <c r="BU124" s="1008"/>
      <c r="BV124" s="1008">
        <f t="shared" si="127"/>
        <v>0</v>
      </c>
      <c r="BW124" s="1008"/>
      <c r="BX124" s="1008">
        <f t="shared" si="128"/>
        <v>0</v>
      </c>
      <c r="BY124" s="1008">
        <f t="shared" si="128"/>
        <v>0</v>
      </c>
      <c r="BZ124" s="1008"/>
      <c r="CA124" s="1008"/>
      <c r="CB124" s="1008"/>
      <c r="CC124" s="1008"/>
      <c r="CD124" s="1008">
        <f t="shared" si="129"/>
        <v>0</v>
      </c>
      <c r="CE124" s="1008">
        <f t="shared" si="129"/>
        <v>0</v>
      </c>
      <c r="CF124" s="1008">
        <f t="shared" si="129"/>
        <v>0</v>
      </c>
      <c r="CG124" s="1008">
        <f t="shared" si="129"/>
        <v>0</v>
      </c>
      <c r="CH124" s="1008">
        <f t="shared" si="111"/>
        <v>22588025</v>
      </c>
      <c r="CI124" s="1008">
        <f t="shared" si="111"/>
        <v>0</v>
      </c>
      <c r="CJ124" s="1008"/>
      <c r="CK124" s="1008"/>
      <c r="CL124" s="1008">
        <f t="shared" si="130"/>
        <v>0</v>
      </c>
      <c r="CM124" s="1011">
        <f t="shared" si="113"/>
        <v>0.97541798367726695</v>
      </c>
      <c r="CN124" s="1008">
        <f t="shared" si="114"/>
        <v>1110451728</v>
      </c>
      <c r="CO124" s="1008">
        <f>+'[18]OCTUBRE 2015'!$H$1378+'[18]OCTUBRE 2015'!$H$1392+'[18]OCTUBRE 2015'!$H$1394</f>
        <v>23245422</v>
      </c>
      <c r="CP124" s="1008"/>
      <c r="CQ124" s="1008"/>
      <c r="CR124" s="1008"/>
      <c r="CS124" s="1008"/>
      <c r="CT124" s="1008"/>
      <c r="CU124" s="1008"/>
      <c r="CV124" s="1008"/>
      <c r="CW124" s="1008"/>
      <c r="CX124" s="1008"/>
      <c r="CY124" s="1008"/>
      <c r="CZ124" s="1008"/>
      <c r="DA124" s="1008"/>
      <c r="DB124" s="1008">
        <f>+'[18]OCTUBRE 2015'!$H$1387+'[18]OCTUBRE 2015'!$H$1390</f>
        <v>52000000</v>
      </c>
      <c r="DC124" s="1008">
        <f>+'[18]OCTUBRE 2015'!$H$1380</f>
        <v>108815808</v>
      </c>
      <c r="DD124" s="1008">
        <f>+'[18]OCTUBRE 2015'!$H$1385+'[18]OCTUBRE 2015'!$H$1389+'[18]OCTUBRE 2015'!$H$1396+'[18]OCTUBRE 2015'!$H$1398+'[18]OCTUBRE 2015'!$H$1400</f>
        <v>56390498</v>
      </c>
      <c r="DE124" s="1008">
        <f>+'[11]ABRIL 2015'!$H$632</f>
        <v>870000000</v>
      </c>
      <c r="DF124" s="1008"/>
      <c r="DG124" s="1008"/>
      <c r="DH124" s="1008"/>
      <c r="DI124" s="1011">
        <f t="shared" si="115"/>
        <v>2.4582016322733047E-2</v>
      </c>
      <c r="DJ124" s="1008">
        <f t="shared" si="116"/>
        <v>27985072</v>
      </c>
      <c r="DK124" s="1008">
        <f t="shared" si="131"/>
        <v>834047</v>
      </c>
      <c r="DL124" s="1008"/>
      <c r="DM124" s="1008"/>
      <c r="DN124" s="1008">
        <f t="shared" si="132"/>
        <v>0</v>
      </c>
      <c r="DO124" s="1008"/>
      <c r="DP124" s="1008">
        <f t="shared" si="133"/>
        <v>0</v>
      </c>
      <c r="DQ124" s="1008">
        <f t="shared" si="133"/>
        <v>0</v>
      </c>
      <c r="DR124" s="1008"/>
      <c r="DS124" s="1008">
        <f t="shared" si="134"/>
        <v>0</v>
      </c>
      <c r="DT124" s="1008">
        <f t="shared" si="134"/>
        <v>0</v>
      </c>
      <c r="DU124" s="1008"/>
      <c r="DV124" s="1008">
        <f t="shared" si="135"/>
        <v>0</v>
      </c>
      <c r="DW124" s="1008">
        <f t="shared" si="135"/>
        <v>0</v>
      </c>
      <c r="DX124" s="1008">
        <f t="shared" si="135"/>
        <v>0</v>
      </c>
      <c r="DY124" s="1008">
        <f t="shared" si="136"/>
        <v>203388</v>
      </c>
      <c r="DZ124" s="1008">
        <f t="shared" si="124"/>
        <v>26947637</v>
      </c>
      <c r="EA124" s="1008">
        <f t="shared" si="124"/>
        <v>0</v>
      </c>
      <c r="EB124" s="1008">
        <f t="shared" si="124"/>
        <v>0</v>
      </c>
      <c r="EC124" s="1008"/>
      <c r="ED124" s="1008">
        <f t="shared" si="137"/>
        <v>0</v>
      </c>
    </row>
    <row r="125" spans="1:134" s="203" customFormat="1" ht="31.5" hidden="1" customHeight="1" x14ac:dyDescent="0.25">
      <c r="A125" s="1559"/>
      <c r="B125" s="1019"/>
      <c r="C125" s="1081"/>
      <c r="D125" s="1019" t="s">
        <v>4966</v>
      </c>
      <c r="E125" s="1020"/>
      <c r="F125" s="1120"/>
      <c r="G125" s="1400"/>
      <c r="H125" s="1061"/>
      <c r="I125" s="1061"/>
      <c r="J125" s="1120" t="s">
        <v>4968</v>
      </c>
      <c r="K125" s="1115" t="s">
        <v>4970</v>
      </c>
      <c r="L125" s="1115" t="s">
        <v>4972</v>
      </c>
      <c r="M125" s="1573"/>
      <c r="N125" s="1115">
        <v>9</v>
      </c>
      <c r="O125" s="1573"/>
      <c r="P125" s="1573"/>
      <c r="Q125" s="1115">
        <v>26</v>
      </c>
      <c r="R125" s="1115">
        <v>0</v>
      </c>
      <c r="S125" s="1120"/>
      <c r="T125" s="1120"/>
      <c r="U125" s="1120"/>
      <c r="V125" s="1120"/>
      <c r="W125" s="1120"/>
      <c r="X125" s="1120"/>
      <c r="Y125" s="1067"/>
      <c r="Z125" s="1067"/>
      <c r="AA125" s="1067"/>
      <c r="AB125" s="1067"/>
      <c r="AC125" s="1067"/>
      <c r="AD125" s="1067"/>
      <c r="AE125" s="1067"/>
      <c r="AF125" s="1067"/>
      <c r="AG125" s="1067"/>
      <c r="AH125" s="1067"/>
      <c r="AI125" s="1067"/>
      <c r="AJ125" s="1067"/>
      <c r="AK125" s="1067"/>
      <c r="AL125" s="1067"/>
      <c r="AM125" s="1067"/>
      <c r="AN125" s="1067"/>
      <c r="AO125" s="1067"/>
      <c r="AP125" s="1067"/>
      <c r="AQ125" s="1067"/>
      <c r="AR125" s="1067"/>
      <c r="AS125" s="1067"/>
      <c r="AU125" s="1082"/>
      <c r="AV125" s="1067"/>
      <c r="AW125" s="1067"/>
      <c r="AX125" s="1067"/>
      <c r="AY125" s="1067"/>
      <c r="AZ125" s="1067"/>
      <c r="BA125" s="1067"/>
      <c r="BB125" s="1067"/>
      <c r="BC125" s="1067"/>
      <c r="BD125" s="1067"/>
      <c r="BE125" s="1067"/>
      <c r="BF125" s="1067"/>
      <c r="BG125" s="1067"/>
      <c r="BH125" s="1067"/>
      <c r="BI125" s="1067"/>
      <c r="BJ125" s="1067"/>
      <c r="BK125" s="1067"/>
      <c r="BL125" s="1067"/>
      <c r="BM125" s="1067"/>
      <c r="BN125" s="1067"/>
      <c r="BO125" s="1067"/>
      <c r="BP125" s="1067"/>
      <c r="BQ125" s="1082"/>
      <c r="BR125" s="1067"/>
      <c r="BS125" s="1067"/>
      <c r="BT125" s="1067"/>
      <c r="BU125" s="1067"/>
      <c r="BV125" s="1067"/>
      <c r="BW125" s="1067"/>
      <c r="BX125" s="1067"/>
      <c r="BY125" s="1067"/>
      <c r="BZ125" s="1067"/>
      <c r="CA125" s="1067"/>
      <c r="CB125" s="1067"/>
      <c r="CC125" s="1067"/>
      <c r="CD125" s="1067"/>
      <c r="CE125" s="1067"/>
      <c r="CF125" s="1067"/>
      <c r="CG125" s="1067"/>
      <c r="CH125" s="1067"/>
      <c r="CI125" s="1067"/>
      <c r="CJ125" s="1067"/>
      <c r="CK125" s="1067"/>
      <c r="CL125" s="1067"/>
      <c r="CM125" s="1082"/>
      <c r="CN125" s="1067"/>
      <c r="CO125" s="1067"/>
      <c r="CP125" s="1067"/>
      <c r="CQ125" s="1067"/>
      <c r="CR125" s="1067"/>
      <c r="CS125" s="1067"/>
      <c r="CT125" s="1067"/>
      <c r="CU125" s="1067"/>
      <c r="CV125" s="1067"/>
      <c r="CW125" s="1067"/>
      <c r="CX125" s="1067"/>
      <c r="CY125" s="1067"/>
      <c r="CZ125" s="1067"/>
      <c r="DA125" s="1067"/>
      <c r="DB125" s="1067"/>
      <c r="DC125" s="1067"/>
      <c r="DD125" s="1067"/>
      <c r="DE125" s="1067"/>
      <c r="DF125" s="1067"/>
      <c r="DG125" s="1067"/>
      <c r="DH125" s="1067"/>
      <c r="DI125" s="1082"/>
      <c r="DJ125" s="1067"/>
      <c r="DK125" s="1067"/>
      <c r="DL125" s="1067"/>
      <c r="DM125" s="1067"/>
      <c r="DN125" s="1067"/>
      <c r="DO125" s="1067"/>
      <c r="DP125" s="1067"/>
      <c r="DQ125" s="1067"/>
      <c r="DR125" s="1067"/>
      <c r="DS125" s="1067"/>
      <c r="DT125" s="1067"/>
      <c r="DU125" s="1067"/>
      <c r="DV125" s="1067"/>
      <c r="DW125" s="1067"/>
      <c r="DX125" s="1067"/>
      <c r="DY125" s="1067"/>
      <c r="DZ125" s="1067"/>
      <c r="EA125" s="1067"/>
      <c r="EB125" s="1067"/>
      <c r="EC125" s="1067"/>
      <c r="ED125" s="1067"/>
    </row>
    <row r="126" spans="1:134" ht="33" customHeight="1" x14ac:dyDescent="0.25">
      <c r="A126" s="1559"/>
      <c r="B126" s="1019"/>
      <c r="C126" s="1116" t="s">
        <v>4467</v>
      </c>
      <c r="D126" s="1019" t="s">
        <v>4638</v>
      </c>
      <c r="E126" s="1020">
        <v>301</v>
      </c>
      <c r="F126" s="1120" t="s">
        <v>4661</v>
      </c>
      <c r="G126" s="1400"/>
      <c r="H126" s="1061">
        <f t="shared" si="100"/>
        <v>10878966</v>
      </c>
      <c r="I126" s="1061">
        <f>Y126-H126</f>
        <v>4121034</v>
      </c>
      <c r="J126" s="1120" t="s">
        <v>4973</v>
      </c>
      <c r="K126" s="1115" t="s">
        <v>4974</v>
      </c>
      <c r="L126" s="1115" t="s">
        <v>4975</v>
      </c>
      <c r="M126" s="1115">
        <v>3</v>
      </c>
      <c r="N126" s="1115">
        <v>90</v>
      </c>
      <c r="O126" s="1115">
        <v>2</v>
      </c>
      <c r="P126" s="1115">
        <v>5</v>
      </c>
      <c r="Q126" s="1115">
        <v>163</v>
      </c>
      <c r="R126" s="1115">
        <v>8</v>
      </c>
      <c r="S126" s="1120"/>
      <c r="T126" s="1120"/>
      <c r="U126" s="1120"/>
      <c r="V126" s="1120"/>
      <c r="W126" s="1120"/>
      <c r="X126" s="1120"/>
      <c r="Y126" s="1008">
        <f t="shared" si="102"/>
        <v>15000000</v>
      </c>
      <c r="Z126" s="1008"/>
      <c r="AA126" s="1008"/>
      <c r="AB126" s="1008"/>
      <c r="AC126" s="1008"/>
      <c r="AD126" s="1008"/>
      <c r="AE126" s="1008"/>
      <c r="AF126" s="1008"/>
      <c r="AG126" s="1008"/>
      <c r="AH126" s="1008"/>
      <c r="AI126" s="1008"/>
      <c r="AJ126" s="1008"/>
      <c r="AK126" s="1008"/>
      <c r="AL126" s="1008"/>
      <c r="AM126" s="1008"/>
      <c r="AN126" s="1008"/>
      <c r="AO126" s="1008"/>
      <c r="AP126" s="1008">
        <v>15000000</v>
      </c>
      <c r="AQ126" s="1008"/>
      <c r="AR126" s="1008"/>
      <c r="AS126" s="1008"/>
      <c r="AU126" s="1011">
        <f t="shared" si="103"/>
        <v>0.72526440000000003</v>
      </c>
      <c r="AV126" s="1008">
        <f t="shared" si="104"/>
        <v>10878966</v>
      </c>
      <c r="AW126" s="1008"/>
      <c r="AX126" s="1008"/>
      <c r="AY126" s="1008"/>
      <c r="AZ126" s="1008"/>
      <c r="BA126" s="1008"/>
      <c r="BB126" s="1008"/>
      <c r="BC126" s="1008"/>
      <c r="BD126" s="1008"/>
      <c r="BE126" s="1008"/>
      <c r="BF126" s="1008"/>
      <c r="BG126" s="1008"/>
      <c r="BH126" s="1008"/>
      <c r="BI126" s="1008"/>
      <c r="BJ126" s="1008"/>
      <c r="BK126" s="1008"/>
      <c r="BL126" s="1008"/>
      <c r="BM126" s="1008">
        <f>+'[18]OCTUBRE 2015'!$Z$1404</f>
        <v>10878966</v>
      </c>
      <c r="BN126" s="1008"/>
      <c r="BO126" s="1008"/>
      <c r="BP126" s="1008"/>
      <c r="BQ126" s="1011">
        <f t="shared" si="105"/>
        <v>0.27473559999999997</v>
      </c>
      <c r="BR126" s="1008">
        <f t="shared" si="106"/>
        <v>4121034</v>
      </c>
      <c r="BS126" s="1008">
        <f t="shared" si="125"/>
        <v>0</v>
      </c>
      <c r="BT126" s="1008">
        <f t="shared" si="126"/>
        <v>0</v>
      </c>
      <c r="BU126" s="1008"/>
      <c r="BV126" s="1008">
        <f t="shared" si="127"/>
        <v>0</v>
      </c>
      <c r="BW126" s="1008"/>
      <c r="BX126" s="1008">
        <f t="shared" si="128"/>
        <v>0</v>
      </c>
      <c r="BY126" s="1008">
        <f t="shared" si="128"/>
        <v>0</v>
      </c>
      <c r="BZ126" s="1008"/>
      <c r="CA126" s="1008"/>
      <c r="CB126" s="1008"/>
      <c r="CC126" s="1008"/>
      <c r="CD126" s="1008">
        <f t="shared" si="129"/>
        <v>0</v>
      </c>
      <c r="CE126" s="1008">
        <f t="shared" si="129"/>
        <v>0</v>
      </c>
      <c r="CF126" s="1008">
        <f t="shared" si="129"/>
        <v>0</v>
      </c>
      <c r="CG126" s="1008">
        <f t="shared" si="129"/>
        <v>0</v>
      </c>
      <c r="CH126" s="1008">
        <f t="shared" si="111"/>
        <v>0</v>
      </c>
      <c r="CI126" s="1008">
        <f t="shared" si="111"/>
        <v>4121034</v>
      </c>
      <c r="CJ126" s="1008"/>
      <c r="CK126" s="1008"/>
      <c r="CL126" s="1008">
        <f t="shared" si="130"/>
        <v>0</v>
      </c>
      <c r="CM126" s="1011">
        <f t="shared" si="113"/>
        <v>0.72526440000000003</v>
      </c>
      <c r="CN126" s="1008">
        <f t="shared" si="114"/>
        <v>10878966</v>
      </c>
      <c r="CO126" s="1008"/>
      <c r="CP126" s="1008"/>
      <c r="CQ126" s="1008"/>
      <c r="CR126" s="1008"/>
      <c r="CS126" s="1008"/>
      <c r="CT126" s="1008"/>
      <c r="CU126" s="1008"/>
      <c r="CV126" s="1008"/>
      <c r="CW126" s="1008"/>
      <c r="CX126" s="1008"/>
      <c r="CY126" s="1008"/>
      <c r="CZ126" s="1008"/>
      <c r="DA126" s="1008"/>
      <c r="DB126" s="1008"/>
      <c r="DC126" s="1008"/>
      <c r="DD126" s="1008"/>
      <c r="DE126" s="1008">
        <f>+'[18]OCTUBRE 2015'!$H$1402</f>
        <v>10878966</v>
      </c>
      <c r="DF126" s="1008"/>
      <c r="DG126" s="1008"/>
      <c r="DH126" s="1008"/>
      <c r="DI126" s="1011">
        <f t="shared" si="115"/>
        <v>0.27473559999999997</v>
      </c>
      <c r="DJ126" s="1008">
        <f t="shared" si="116"/>
        <v>4121034</v>
      </c>
      <c r="DK126" s="1008">
        <f t="shared" si="131"/>
        <v>0</v>
      </c>
      <c r="DL126" s="1008"/>
      <c r="DM126" s="1008"/>
      <c r="DN126" s="1008">
        <f t="shared" si="132"/>
        <v>0</v>
      </c>
      <c r="DO126" s="1008"/>
      <c r="DP126" s="1008">
        <f t="shared" si="133"/>
        <v>0</v>
      </c>
      <c r="DQ126" s="1008">
        <f t="shared" si="133"/>
        <v>0</v>
      </c>
      <c r="DR126" s="1008"/>
      <c r="DS126" s="1008">
        <f t="shared" si="134"/>
        <v>0</v>
      </c>
      <c r="DT126" s="1008">
        <f t="shared" si="134"/>
        <v>0</v>
      </c>
      <c r="DU126" s="1008"/>
      <c r="DV126" s="1008">
        <f t="shared" si="135"/>
        <v>0</v>
      </c>
      <c r="DW126" s="1008">
        <f t="shared" si="135"/>
        <v>0</v>
      </c>
      <c r="DX126" s="1008">
        <f t="shared" si="135"/>
        <v>0</v>
      </c>
      <c r="DY126" s="1008">
        <f t="shared" si="136"/>
        <v>0</v>
      </c>
      <c r="DZ126" s="1008">
        <f t="shared" si="124"/>
        <v>0</v>
      </c>
      <c r="EA126" s="1008">
        <f t="shared" si="124"/>
        <v>4121034</v>
      </c>
      <c r="EB126" s="1008">
        <f t="shared" si="124"/>
        <v>0</v>
      </c>
      <c r="EC126" s="1008"/>
      <c r="ED126" s="1008">
        <f t="shared" si="137"/>
        <v>0</v>
      </c>
    </row>
    <row r="127" spans="1:134" ht="30.75" customHeight="1" x14ac:dyDescent="0.25">
      <c r="A127" s="1559"/>
      <c r="B127" s="989"/>
      <c r="C127" s="1116" t="s">
        <v>4468</v>
      </c>
      <c r="D127" s="1019" t="s">
        <v>4639</v>
      </c>
      <c r="E127" s="997">
        <v>301</v>
      </c>
      <c r="F127" s="1120" t="s">
        <v>4661</v>
      </c>
      <c r="G127" s="1401"/>
      <c r="H127" s="1061">
        <f t="shared" si="100"/>
        <v>126292600</v>
      </c>
      <c r="I127" s="1061">
        <f>Y127-H127</f>
        <v>26507400</v>
      </c>
      <c r="J127" s="1120" t="s">
        <v>4922</v>
      </c>
      <c r="K127" s="1115" t="s">
        <v>4923</v>
      </c>
      <c r="L127" s="1115" t="s">
        <v>4924</v>
      </c>
      <c r="M127" s="1115">
        <v>2</v>
      </c>
      <c r="N127" s="1115">
        <v>0</v>
      </c>
      <c r="O127" s="1115">
        <v>0</v>
      </c>
      <c r="P127" s="1115">
        <v>39</v>
      </c>
      <c r="Q127" s="1115">
        <v>15</v>
      </c>
      <c r="R127" s="1115">
        <v>6</v>
      </c>
      <c r="S127" s="1120"/>
      <c r="T127" s="1120"/>
      <c r="U127" s="1120"/>
      <c r="V127" s="1120"/>
      <c r="W127" s="1120"/>
      <c r="X127" s="1120"/>
      <c r="Y127" s="1008">
        <f t="shared" si="102"/>
        <v>152800000</v>
      </c>
      <c r="Z127" s="1008"/>
      <c r="AA127" s="1008"/>
      <c r="AB127" s="1008"/>
      <c r="AC127" s="1008"/>
      <c r="AD127" s="1008"/>
      <c r="AE127" s="1008"/>
      <c r="AF127" s="1008"/>
      <c r="AG127" s="1008"/>
      <c r="AH127" s="1008"/>
      <c r="AI127" s="1008"/>
      <c r="AJ127" s="1008"/>
      <c r="AK127" s="1008"/>
      <c r="AL127" s="1008"/>
      <c r="AM127" s="1008"/>
      <c r="AN127" s="1008">
        <v>137800000</v>
      </c>
      <c r="AO127" s="1008"/>
      <c r="AP127" s="1008">
        <v>15000000</v>
      </c>
      <c r="AQ127" s="1008"/>
      <c r="AR127" s="1008"/>
      <c r="AS127" s="1008"/>
      <c r="AU127" s="1011">
        <f t="shared" si="103"/>
        <v>0.82652225130890056</v>
      </c>
      <c r="AV127" s="1008">
        <f t="shared" si="104"/>
        <v>126292600</v>
      </c>
      <c r="AW127" s="1008"/>
      <c r="AX127" s="1008"/>
      <c r="AY127" s="1008"/>
      <c r="AZ127" s="1008"/>
      <c r="BA127" s="1008"/>
      <c r="BB127" s="1008"/>
      <c r="BC127" s="1008"/>
      <c r="BD127" s="1008"/>
      <c r="BE127" s="1008"/>
      <c r="BF127" s="1008"/>
      <c r="BG127" s="1008"/>
      <c r="BH127" s="1008"/>
      <c r="BI127" s="1008"/>
      <c r="BJ127" s="1008"/>
      <c r="BK127" s="1008">
        <f>+'[18]OCTUBRE 2015'!$X$1421</f>
        <v>123715200</v>
      </c>
      <c r="BL127" s="1008"/>
      <c r="BM127" s="1008">
        <f>+'[18]OCTUBRE 2015'!$Z$1421</f>
        <v>2577400</v>
      </c>
      <c r="BN127" s="1008"/>
      <c r="BO127" s="1008"/>
      <c r="BP127" s="1008"/>
      <c r="BQ127" s="1011">
        <f t="shared" si="105"/>
        <v>0.17347774869109944</v>
      </c>
      <c r="BR127" s="1008">
        <f t="shared" si="106"/>
        <v>26507400</v>
      </c>
      <c r="BS127" s="1008">
        <f t="shared" si="125"/>
        <v>0</v>
      </c>
      <c r="BT127" s="1008">
        <f t="shared" si="126"/>
        <v>0</v>
      </c>
      <c r="BU127" s="1008"/>
      <c r="BV127" s="1008">
        <f t="shared" si="127"/>
        <v>0</v>
      </c>
      <c r="BW127" s="1008"/>
      <c r="BX127" s="1008">
        <f t="shared" si="128"/>
        <v>0</v>
      </c>
      <c r="BY127" s="1008">
        <f t="shared" si="128"/>
        <v>0</v>
      </c>
      <c r="BZ127" s="1008"/>
      <c r="CA127" s="1008"/>
      <c r="CB127" s="1008"/>
      <c r="CC127" s="1008"/>
      <c r="CD127" s="1008">
        <f t="shared" si="129"/>
        <v>0</v>
      </c>
      <c r="CE127" s="1008">
        <f t="shared" si="129"/>
        <v>0</v>
      </c>
      <c r="CF127" s="1008">
        <f t="shared" si="129"/>
        <v>0</v>
      </c>
      <c r="CG127" s="1008">
        <f t="shared" si="129"/>
        <v>14084800</v>
      </c>
      <c r="CH127" s="1008">
        <f t="shared" si="111"/>
        <v>0</v>
      </c>
      <c r="CI127" s="1008">
        <f t="shared" si="111"/>
        <v>12422600</v>
      </c>
      <c r="CJ127" s="1008"/>
      <c r="CK127" s="1008"/>
      <c r="CL127" s="1008">
        <f t="shared" si="130"/>
        <v>0</v>
      </c>
      <c r="CM127" s="1011">
        <f t="shared" si="113"/>
        <v>0.82652225130890056</v>
      </c>
      <c r="CN127" s="1008">
        <f t="shared" si="114"/>
        <v>126292600</v>
      </c>
      <c r="CO127" s="1008"/>
      <c r="CP127" s="1008"/>
      <c r="CQ127" s="1008"/>
      <c r="CR127" s="1008"/>
      <c r="CS127" s="1008"/>
      <c r="CT127" s="1008"/>
      <c r="CU127" s="1008"/>
      <c r="CV127" s="1008"/>
      <c r="CW127" s="1008"/>
      <c r="CX127" s="1008"/>
      <c r="CY127" s="1008"/>
      <c r="CZ127" s="1008"/>
      <c r="DA127" s="1008"/>
      <c r="DB127" s="1008"/>
      <c r="DC127" s="1008">
        <f>+'[18]OCTUBRE 2015'!$X$1421</f>
        <v>123715200</v>
      </c>
      <c r="DD127" s="1008"/>
      <c r="DE127" s="1008">
        <f>+'[12]MAYO 2015'!$H$689</f>
        <v>2577400</v>
      </c>
      <c r="DF127" s="1008"/>
      <c r="DG127" s="1008"/>
      <c r="DH127" s="1008"/>
      <c r="DI127" s="1011">
        <f t="shared" si="115"/>
        <v>0.17347774869109944</v>
      </c>
      <c r="DJ127" s="1008">
        <f t="shared" si="116"/>
        <v>26507400</v>
      </c>
      <c r="DK127" s="1008">
        <f t="shared" si="131"/>
        <v>0</v>
      </c>
      <c r="DL127" s="1008"/>
      <c r="DM127" s="1008"/>
      <c r="DN127" s="1008">
        <f t="shared" si="132"/>
        <v>0</v>
      </c>
      <c r="DO127" s="1008"/>
      <c r="DP127" s="1008">
        <f t="shared" si="133"/>
        <v>0</v>
      </c>
      <c r="DQ127" s="1008">
        <f t="shared" si="133"/>
        <v>0</v>
      </c>
      <c r="DR127" s="1008"/>
      <c r="DS127" s="1008">
        <f t="shared" si="134"/>
        <v>0</v>
      </c>
      <c r="DT127" s="1008">
        <f t="shared" si="134"/>
        <v>0</v>
      </c>
      <c r="DU127" s="1008"/>
      <c r="DV127" s="1008">
        <f t="shared" si="135"/>
        <v>0</v>
      </c>
      <c r="DW127" s="1008">
        <f t="shared" si="135"/>
        <v>0</v>
      </c>
      <c r="DX127" s="1008">
        <f t="shared" si="135"/>
        <v>0</v>
      </c>
      <c r="DY127" s="1008">
        <f t="shared" si="136"/>
        <v>14084800</v>
      </c>
      <c r="DZ127" s="1008">
        <f t="shared" si="124"/>
        <v>0</v>
      </c>
      <c r="EA127" s="1008">
        <f t="shared" si="124"/>
        <v>12422600</v>
      </c>
      <c r="EB127" s="1008">
        <f t="shared" si="124"/>
        <v>0</v>
      </c>
      <c r="EC127" s="1008"/>
      <c r="ED127" s="1008">
        <f t="shared" si="137"/>
        <v>0</v>
      </c>
    </row>
    <row r="128" spans="1:134" ht="26.25" customHeight="1" x14ac:dyDescent="0.25">
      <c r="A128" s="1559"/>
      <c r="B128" s="989" t="s">
        <v>4446</v>
      </c>
      <c r="C128" s="1116" t="s">
        <v>4690</v>
      </c>
      <c r="D128" s="1019" t="s">
        <v>4640</v>
      </c>
      <c r="E128" s="997">
        <v>301</v>
      </c>
      <c r="F128" s="1120" t="s">
        <v>4661</v>
      </c>
      <c r="G128" s="1120">
        <v>50000000</v>
      </c>
      <c r="H128" s="1061">
        <f t="shared" si="100"/>
        <v>45969645</v>
      </c>
      <c r="I128" s="1061">
        <f>Y128-H128</f>
        <v>4030355</v>
      </c>
      <c r="J128" s="1120" t="s">
        <v>4925</v>
      </c>
      <c r="K128" s="1115" t="s">
        <v>4926</v>
      </c>
      <c r="L128" s="1115" t="s">
        <v>4927</v>
      </c>
      <c r="M128" s="1115">
        <v>60</v>
      </c>
      <c r="N128" s="1115">
        <v>0</v>
      </c>
      <c r="O128" s="1115">
        <v>0</v>
      </c>
      <c r="P128" s="1115">
        <v>64</v>
      </c>
      <c r="Q128" s="1115">
        <v>36</v>
      </c>
      <c r="R128" s="1115">
        <v>23</v>
      </c>
      <c r="S128" s="1120"/>
      <c r="T128" s="1120"/>
      <c r="U128" s="1120"/>
      <c r="V128" s="1120"/>
      <c r="W128" s="1120"/>
      <c r="X128" s="1120"/>
      <c r="Y128" s="1008">
        <f t="shared" si="102"/>
        <v>50000000</v>
      </c>
      <c r="Z128" s="1008"/>
      <c r="AA128" s="1008"/>
      <c r="AB128" s="1008"/>
      <c r="AC128" s="1008"/>
      <c r="AD128" s="1008"/>
      <c r="AE128" s="1008"/>
      <c r="AF128" s="1008"/>
      <c r="AG128" s="1008"/>
      <c r="AH128" s="1008"/>
      <c r="AI128" s="1008"/>
      <c r="AJ128" s="1008"/>
      <c r="AK128" s="1008"/>
      <c r="AL128" s="1008"/>
      <c r="AM128" s="1008">
        <v>50000000</v>
      </c>
      <c r="AN128" s="1008"/>
      <c r="AO128" s="1008"/>
      <c r="AP128" s="1008"/>
      <c r="AQ128" s="1008"/>
      <c r="AR128" s="1008"/>
      <c r="AS128" s="1008"/>
      <c r="AU128" s="1011">
        <f t="shared" si="103"/>
        <v>1</v>
      </c>
      <c r="AV128" s="1008">
        <f t="shared" si="104"/>
        <v>50000000</v>
      </c>
      <c r="AW128" s="1008"/>
      <c r="AX128" s="1008"/>
      <c r="AY128" s="1008"/>
      <c r="AZ128" s="1008"/>
      <c r="BA128" s="1008"/>
      <c r="BB128" s="1008"/>
      <c r="BC128" s="1008"/>
      <c r="BD128" s="1008"/>
      <c r="BE128" s="1008"/>
      <c r="BF128" s="1008"/>
      <c r="BG128" s="1008"/>
      <c r="BH128" s="1008"/>
      <c r="BI128" s="1008"/>
      <c r="BJ128" s="1008">
        <f>+'[7]ENERO 2015'!$T$374</f>
        <v>50000000</v>
      </c>
      <c r="BK128" s="1008"/>
      <c r="BL128" s="1008"/>
      <c r="BM128" s="1008"/>
      <c r="BN128" s="1008"/>
      <c r="BO128" s="1008"/>
      <c r="BP128" s="1008"/>
      <c r="BQ128" s="1011">
        <f t="shared" si="105"/>
        <v>0</v>
      </c>
      <c r="BR128" s="1008">
        <f t="shared" si="106"/>
        <v>0</v>
      </c>
      <c r="BS128" s="1008">
        <f t="shared" si="125"/>
        <v>0</v>
      </c>
      <c r="BT128" s="1008">
        <f t="shared" si="126"/>
        <v>0</v>
      </c>
      <c r="BU128" s="1008"/>
      <c r="BV128" s="1008">
        <f t="shared" si="127"/>
        <v>0</v>
      </c>
      <c r="BW128" s="1008"/>
      <c r="BX128" s="1008">
        <f t="shared" si="128"/>
        <v>0</v>
      </c>
      <c r="BY128" s="1008">
        <f t="shared" si="128"/>
        <v>0</v>
      </c>
      <c r="BZ128" s="1008"/>
      <c r="CA128" s="1008"/>
      <c r="CB128" s="1008"/>
      <c r="CC128" s="1008"/>
      <c r="CD128" s="1008">
        <f t="shared" si="129"/>
        <v>0</v>
      </c>
      <c r="CE128" s="1008">
        <f t="shared" si="129"/>
        <v>0</v>
      </c>
      <c r="CF128" s="1008">
        <f t="shared" si="129"/>
        <v>0</v>
      </c>
      <c r="CG128" s="1008">
        <f t="shared" si="129"/>
        <v>0</v>
      </c>
      <c r="CH128" s="1008">
        <f t="shared" si="111"/>
        <v>0</v>
      </c>
      <c r="CI128" s="1008">
        <f t="shared" si="111"/>
        <v>0</v>
      </c>
      <c r="CJ128" s="1008"/>
      <c r="CK128" s="1008"/>
      <c r="CL128" s="1008">
        <f t="shared" si="130"/>
        <v>0</v>
      </c>
      <c r="CM128" s="1011">
        <f t="shared" si="113"/>
        <v>0.91939289999999996</v>
      </c>
      <c r="CN128" s="1008">
        <f t="shared" si="114"/>
        <v>45969645</v>
      </c>
      <c r="CO128" s="1008"/>
      <c r="CP128" s="1008"/>
      <c r="CQ128" s="1008"/>
      <c r="CR128" s="1008"/>
      <c r="CS128" s="1008"/>
      <c r="CT128" s="1008"/>
      <c r="CU128" s="1008"/>
      <c r="CV128" s="1008"/>
      <c r="CW128" s="1008"/>
      <c r="CX128" s="1008"/>
      <c r="CY128" s="1008"/>
      <c r="CZ128" s="1008"/>
      <c r="DA128" s="1008"/>
      <c r="DB128" s="1008">
        <f>+'[18]OCTUBRE 2015'!$H$1468</f>
        <v>45969645</v>
      </c>
      <c r="DC128" s="1008"/>
      <c r="DD128" s="1008"/>
      <c r="DE128" s="1008"/>
      <c r="DF128" s="1008"/>
      <c r="DG128" s="1008"/>
      <c r="DH128" s="1008"/>
      <c r="DI128" s="1011">
        <f t="shared" si="115"/>
        <v>8.0607100000000043E-2</v>
      </c>
      <c r="DJ128" s="1008">
        <f t="shared" si="116"/>
        <v>4030355</v>
      </c>
      <c r="DK128" s="1008">
        <f t="shared" si="131"/>
        <v>0</v>
      </c>
      <c r="DL128" s="1008"/>
      <c r="DM128" s="1008"/>
      <c r="DN128" s="1008">
        <f t="shared" si="132"/>
        <v>0</v>
      </c>
      <c r="DO128" s="1008"/>
      <c r="DP128" s="1008">
        <f t="shared" si="133"/>
        <v>0</v>
      </c>
      <c r="DQ128" s="1008">
        <f t="shared" si="133"/>
        <v>0</v>
      </c>
      <c r="DR128" s="1008"/>
      <c r="DS128" s="1008">
        <f t="shared" si="134"/>
        <v>0</v>
      </c>
      <c r="DT128" s="1008">
        <f t="shared" si="134"/>
        <v>0</v>
      </c>
      <c r="DU128" s="1008"/>
      <c r="DV128" s="1008">
        <f t="shared" si="135"/>
        <v>0</v>
      </c>
      <c r="DW128" s="1008">
        <f t="shared" si="135"/>
        <v>0</v>
      </c>
      <c r="DX128" s="1008">
        <f t="shared" si="135"/>
        <v>4030355</v>
      </c>
      <c r="DY128" s="1008">
        <f t="shared" si="136"/>
        <v>0</v>
      </c>
      <c r="DZ128" s="1008">
        <f t="shared" si="124"/>
        <v>0</v>
      </c>
      <c r="EA128" s="1008">
        <f t="shared" si="124"/>
        <v>0</v>
      </c>
      <c r="EB128" s="1008">
        <f t="shared" si="124"/>
        <v>0</v>
      </c>
      <c r="EC128" s="1008"/>
      <c r="ED128" s="1008">
        <f t="shared" si="137"/>
        <v>0</v>
      </c>
    </row>
    <row r="129" spans="1:136" s="948" customFormat="1" ht="24" customHeight="1" thickBot="1" x14ac:dyDescent="0.3">
      <c r="A129" s="1057"/>
      <c r="B129" s="1544" t="s">
        <v>4447</v>
      </c>
      <c r="C129" s="1545"/>
      <c r="D129" s="1545"/>
      <c r="E129" s="1545"/>
      <c r="F129" s="1546"/>
      <c r="G129" s="1009">
        <f>SUM(G106:G128)</f>
        <v>1952000000</v>
      </c>
      <c r="H129" s="1009">
        <f>SUM(H106:H128)</f>
        <v>2270218833</v>
      </c>
      <c r="I129" s="1009">
        <f>SUM(I106:I128)</f>
        <v>285017967</v>
      </c>
      <c r="J129" s="1128"/>
      <c r="K129" s="1128"/>
      <c r="L129" s="1128"/>
      <c r="M129" s="1128"/>
      <c r="N129" s="1128"/>
      <c r="O129" s="1128"/>
      <c r="P129" s="1128"/>
      <c r="Q129" s="1128"/>
      <c r="R129" s="1128"/>
      <c r="S129" s="1128"/>
      <c r="T129" s="1128"/>
      <c r="U129" s="1128"/>
      <c r="V129" s="1128"/>
      <c r="W129" s="1128"/>
      <c r="X129" s="1128"/>
      <c r="Y129" s="1009">
        <f t="shared" ref="Y129:AS129" si="138">SUM(Y106:Y128)</f>
        <v>2555236800</v>
      </c>
      <c r="Z129" s="1009">
        <f t="shared" si="138"/>
        <v>104079469</v>
      </c>
      <c r="AA129" s="1009">
        <f t="shared" si="138"/>
        <v>0</v>
      </c>
      <c r="AB129" s="1009">
        <f t="shared" si="138"/>
        <v>0</v>
      </c>
      <c r="AC129" s="1009">
        <f t="shared" si="138"/>
        <v>0</v>
      </c>
      <c r="AD129" s="1009">
        <f t="shared" si="138"/>
        <v>0</v>
      </c>
      <c r="AE129" s="1009">
        <f t="shared" si="138"/>
        <v>0</v>
      </c>
      <c r="AF129" s="1009">
        <f t="shared" si="138"/>
        <v>0</v>
      </c>
      <c r="AG129" s="1009">
        <f t="shared" si="138"/>
        <v>0</v>
      </c>
      <c r="AH129" s="1009">
        <f t="shared" si="138"/>
        <v>0</v>
      </c>
      <c r="AI129" s="1009">
        <f t="shared" si="138"/>
        <v>0</v>
      </c>
      <c r="AJ129" s="1009">
        <f t="shared" si="138"/>
        <v>0</v>
      </c>
      <c r="AK129" s="1009">
        <f t="shared" si="138"/>
        <v>0</v>
      </c>
      <c r="AL129" s="1009">
        <f t="shared" si="138"/>
        <v>0</v>
      </c>
      <c r="AM129" s="1009">
        <f t="shared" si="138"/>
        <v>728406867</v>
      </c>
      <c r="AN129" s="1009">
        <f t="shared" si="138"/>
        <v>346819196</v>
      </c>
      <c r="AO129" s="1009">
        <f t="shared" si="138"/>
        <v>120323279</v>
      </c>
      <c r="AP129" s="1009">
        <f t="shared" si="138"/>
        <v>1181607989</v>
      </c>
      <c r="AQ129" s="1009">
        <f t="shared" si="138"/>
        <v>0</v>
      </c>
      <c r="AR129" s="1009">
        <f t="shared" si="138"/>
        <v>0</v>
      </c>
      <c r="AS129" s="1009">
        <f t="shared" si="138"/>
        <v>74000000</v>
      </c>
      <c r="AU129" s="1012">
        <f t="shared" si="103"/>
        <v>0.95536877443217783</v>
      </c>
      <c r="AV129" s="1009">
        <f>SUM(AV106:AV128)</f>
        <v>2441193450</v>
      </c>
      <c r="AW129" s="1009">
        <f>SUM(AW106:AW128)</f>
        <v>103245422</v>
      </c>
      <c r="AX129" s="1009">
        <f>SUM(AX106:AX128)</f>
        <v>0</v>
      </c>
      <c r="AY129" s="1009"/>
      <c r="AZ129" s="1009">
        <f>SUM(AZ106:AZ128)</f>
        <v>0</v>
      </c>
      <c r="BA129" s="1009"/>
      <c r="BB129" s="1009">
        <f t="shared" ref="BB129:BP129" si="139">SUM(BB106:BB128)</f>
        <v>0</v>
      </c>
      <c r="BC129" s="1009">
        <f t="shared" si="139"/>
        <v>0</v>
      </c>
      <c r="BD129" s="1009">
        <f t="shared" si="139"/>
        <v>0</v>
      </c>
      <c r="BE129" s="1009">
        <f t="shared" si="139"/>
        <v>0</v>
      </c>
      <c r="BF129" s="1009">
        <f t="shared" si="139"/>
        <v>0</v>
      </c>
      <c r="BG129" s="1009">
        <f t="shared" si="139"/>
        <v>0</v>
      </c>
      <c r="BH129" s="1009">
        <f t="shared" si="139"/>
        <v>0</v>
      </c>
      <c r="BI129" s="1009">
        <f t="shared" si="139"/>
        <v>0</v>
      </c>
      <c r="BJ129" s="1009">
        <f t="shared" si="139"/>
        <v>709199167</v>
      </c>
      <c r="BK129" s="1009">
        <f t="shared" si="139"/>
        <v>332734396</v>
      </c>
      <c r="BL129" s="1009">
        <f t="shared" si="139"/>
        <v>90750110</v>
      </c>
      <c r="BM129" s="1009">
        <f t="shared" si="139"/>
        <v>1141064355</v>
      </c>
      <c r="BN129" s="1009">
        <f t="shared" si="139"/>
        <v>0</v>
      </c>
      <c r="BO129" s="1009">
        <f t="shared" si="139"/>
        <v>0</v>
      </c>
      <c r="BP129" s="1009">
        <f t="shared" si="139"/>
        <v>64200000</v>
      </c>
      <c r="BQ129" s="1012">
        <f t="shared" si="105"/>
        <v>4.4631225567822175E-2</v>
      </c>
      <c r="BR129" s="1009">
        <f>SUM(BR106:BR128)</f>
        <v>114043350</v>
      </c>
      <c r="BS129" s="1009">
        <f>SUM(BS106:BS128)</f>
        <v>834047</v>
      </c>
      <c r="BT129" s="1009">
        <f>SUM(BT106:BT128)</f>
        <v>0</v>
      </c>
      <c r="BU129" s="1009"/>
      <c r="BV129" s="1009">
        <f t="shared" ref="BV129:CL129" si="140">SUM(BV106:BV128)</f>
        <v>0</v>
      </c>
      <c r="BW129" s="1009">
        <f t="shared" si="140"/>
        <v>0</v>
      </c>
      <c r="BX129" s="1009">
        <f t="shared" si="140"/>
        <v>0</v>
      </c>
      <c r="BY129" s="1009">
        <f t="shared" si="140"/>
        <v>0</v>
      </c>
      <c r="BZ129" s="1009">
        <f t="shared" si="140"/>
        <v>0</v>
      </c>
      <c r="CA129" s="1009">
        <f t="shared" si="140"/>
        <v>0</v>
      </c>
      <c r="CB129" s="1009">
        <f t="shared" si="140"/>
        <v>0</v>
      </c>
      <c r="CC129" s="1009">
        <f t="shared" si="140"/>
        <v>0</v>
      </c>
      <c r="CD129" s="1009">
        <f t="shared" si="140"/>
        <v>0</v>
      </c>
      <c r="CE129" s="1009">
        <f t="shared" si="140"/>
        <v>0</v>
      </c>
      <c r="CF129" s="1009">
        <f t="shared" si="140"/>
        <v>19207700</v>
      </c>
      <c r="CG129" s="1009">
        <f t="shared" si="140"/>
        <v>14084800</v>
      </c>
      <c r="CH129" s="1009">
        <f t="shared" si="140"/>
        <v>29573169</v>
      </c>
      <c r="CI129" s="1009">
        <f t="shared" si="140"/>
        <v>40543634</v>
      </c>
      <c r="CJ129" s="1009">
        <f t="shared" si="140"/>
        <v>0</v>
      </c>
      <c r="CK129" s="1009">
        <f t="shared" si="140"/>
        <v>0</v>
      </c>
      <c r="CL129" s="1009">
        <f t="shared" si="140"/>
        <v>9800000</v>
      </c>
      <c r="CM129" s="1012">
        <f t="shared" si="113"/>
        <v>0.88845731753706736</v>
      </c>
      <c r="CN129" s="1009">
        <f>SUM(CN106:CN128)</f>
        <v>2270218833</v>
      </c>
      <c r="CO129" s="1009">
        <f>SUM(CO106:CO128)</f>
        <v>94013966</v>
      </c>
      <c r="CP129" s="1009">
        <f>SUM(CP106:CP128)</f>
        <v>0</v>
      </c>
      <c r="CQ129" s="1009"/>
      <c r="CR129" s="1009">
        <f>SUM(CR106:CR128)</f>
        <v>0</v>
      </c>
      <c r="CS129" s="1009"/>
      <c r="CT129" s="1009">
        <f>SUM(CT106:CT128)</f>
        <v>0</v>
      </c>
      <c r="CU129" s="1009">
        <f>SUM(CU106:CU128)</f>
        <v>0</v>
      </c>
      <c r="CV129" s="1009"/>
      <c r="CW129" s="1009">
        <f t="shared" ref="CW129:DH129" si="141">SUM(CW106:CW128)</f>
        <v>0</v>
      </c>
      <c r="CX129" s="1009">
        <f t="shared" si="141"/>
        <v>0</v>
      </c>
      <c r="CY129" s="1009">
        <f t="shared" si="141"/>
        <v>0</v>
      </c>
      <c r="CZ129" s="1009">
        <f t="shared" si="141"/>
        <v>0</v>
      </c>
      <c r="DA129" s="1009">
        <f t="shared" si="141"/>
        <v>0</v>
      </c>
      <c r="DB129" s="1009">
        <f t="shared" si="141"/>
        <v>670072305</v>
      </c>
      <c r="DC129" s="1009">
        <f t="shared" si="141"/>
        <v>332531008</v>
      </c>
      <c r="DD129" s="1009">
        <f t="shared" si="141"/>
        <v>56390498</v>
      </c>
      <c r="DE129" s="1009">
        <f t="shared" si="141"/>
        <v>1082996639</v>
      </c>
      <c r="DF129" s="1009">
        <f t="shared" si="141"/>
        <v>0</v>
      </c>
      <c r="DG129" s="1009">
        <f t="shared" si="141"/>
        <v>0</v>
      </c>
      <c r="DH129" s="1009">
        <f t="shared" si="141"/>
        <v>34214417</v>
      </c>
      <c r="DI129" s="1012">
        <f t="shared" si="115"/>
        <v>0.11154268246293264</v>
      </c>
      <c r="DJ129" s="1009">
        <f>SUM(DJ106:DJ128)</f>
        <v>285017967</v>
      </c>
      <c r="DK129" s="1009">
        <f>SUM(DK106:DK128)</f>
        <v>10065503</v>
      </c>
      <c r="DL129" s="1009">
        <f>SUM(DL106:DL128)</f>
        <v>0</v>
      </c>
      <c r="DM129" s="1009"/>
      <c r="DN129" s="1009">
        <f t="shared" ref="DN129:ED129" si="142">SUM(DN106:DN128)</f>
        <v>0</v>
      </c>
      <c r="DO129" s="1009">
        <f t="shared" si="142"/>
        <v>0</v>
      </c>
      <c r="DP129" s="1009">
        <f t="shared" si="142"/>
        <v>0</v>
      </c>
      <c r="DQ129" s="1009">
        <f t="shared" si="142"/>
        <v>0</v>
      </c>
      <c r="DR129" s="1009">
        <f t="shared" si="142"/>
        <v>0</v>
      </c>
      <c r="DS129" s="1009">
        <f t="shared" si="142"/>
        <v>0</v>
      </c>
      <c r="DT129" s="1009">
        <f t="shared" si="142"/>
        <v>0</v>
      </c>
      <c r="DU129" s="1009">
        <f t="shared" si="142"/>
        <v>0</v>
      </c>
      <c r="DV129" s="1009">
        <f t="shared" si="142"/>
        <v>0</v>
      </c>
      <c r="DW129" s="1009">
        <f t="shared" si="142"/>
        <v>0</v>
      </c>
      <c r="DX129" s="1009">
        <f t="shared" si="142"/>
        <v>58334562</v>
      </c>
      <c r="DY129" s="1009">
        <f t="shared" si="142"/>
        <v>14288188</v>
      </c>
      <c r="DZ129" s="1009">
        <f t="shared" si="142"/>
        <v>63932781</v>
      </c>
      <c r="EA129" s="1009">
        <f t="shared" si="142"/>
        <v>98611350</v>
      </c>
      <c r="EB129" s="1009">
        <f t="shared" si="142"/>
        <v>0</v>
      </c>
      <c r="EC129" s="1009">
        <f t="shared" si="142"/>
        <v>0</v>
      </c>
      <c r="ED129" s="1038">
        <f t="shared" si="142"/>
        <v>39785583</v>
      </c>
    </row>
    <row r="130" spans="1:136" ht="78" customHeight="1" thickTop="1" x14ac:dyDescent="0.25">
      <c r="A130" s="1560" t="s">
        <v>4757</v>
      </c>
      <c r="B130" s="990" t="s">
        <v>4448</v>
      </c>
      <c r="C130" s="1116" t="s">
        <v>4653</v>
      </c>
      <c r="D130" s="1019" t="s">
        <v>4644</v>
      </c>
      <c r="E130" s="995">
        <v>510</v>
      </c>
      <c r="F130" s="1120" t="s">
        <v>4548</v>
      </c>
      <c r="G130" s="1563">
        <v>10000000</v>
      </c>
      <c r="H130" s="1061">
        <f t="shared" ref="H130:H193" si="143">+CN130</f>
        <v>3000000</v>
      </c>
      <c r="I130" s="1061">
        <f t="shared" ref="I130:I193" si="144">Y130-H130</f>
        <v>0</v>
      </c>
      <c r="J130" s="1069">
        <v>0.3</v>
      </c>
      <c r="K130" s="1135">
        <v>1</v>
      </c>
      <c r="L130" s="1135">
        <v>0.37</v>
      </c>
      <c r="M130" s="1078">
        <v>100</v>
      </c>
      <c r="N130" s="1078">
        <v>30</v>
      </c>
      <c r="O130" s="1078">
        <v>30</v>
      </c>
      <c r="P130" s="1115">
        <v>100</v>
      </c>
      <c r="Q130" s="1115">
        <v>45</v>
      </c>
      <c r="R130" s="1115">
        <v>45</v>
      </c>
      <c r="S130" s="1120"/>
      <c r="T130" s="1120"/>
      <c r="U130" s="1120"/>
      <c r="V130" s="1120"/>
      <c r="W130" s="1120"/>
      <c r="X130" s="1120"/>
      <c r="Y130" s="1008">
        <f t="shared" ref="Y130:Y161" si="145">SUM(Z130:AS130)</f>
        <v>3000000</v>
      </c>
      <c r="Z130" s="1008"/>
      <c r="AA130" s="1008"/>
      <c r="AB130" s="1008"/>
      <c r="AC130" s="1008"/>
      <c r="AD130" s="1008"/>
      <c r="AE130" s="1008">
        <v>3000000</v>
      </c>
      <c r="AF130" s="1008"/>
      <c r="AG130" s="1008"/>
      <c r="AH130" s="1008"/>
      <c r="AI130" s="1008"/>
      <c r="AJ130" s="1008"/>
      <c r="AK130" s="1008"/>
      <c r="AL130" s="1008"/>
      <c r="AM130" s="1008"/>
      <c r="AN130" s="1008"/>
      <c r="AO130" s="1008"/>
      <c r="AP130" s="1008"/>
      <c r="AQ130" s="1008"/>
      <c r="AR130" s="1008"/>
      <c r="AS130" s="1008"/>
      <c r="AU130" s="1011">
        <f t="shared" si="103"/>
        <v>1</v>
      </c>
      <c r="AV130" s="1008">
        <f t="shared" ref="AV130:AV161" si="146">SUM(AW130:BP130)</f>
        <v>3000000</v>
      </c>
      <c r="AW130" s="1008"/>
      <c r="AX130" s="1008"/>
      <c r="AY130" s="1008"/>
      <c r="AZ130" s="1008"/>
      <c r="BA130" s="1008"/>
      <c r="BB130" s="1008">
        <f>+'[10]MARZO 2015'!$N$1116</f>
        <v>3000000</v>
      </c>
      <c r="BC130" s="1008"/>
      <c r="BD130" s="1008"/>
      <c r="BE130" s="1008"/>
      <c r="BF130" s="1008"/>
      <c r="BG130" s="1008"/>
      <c r="BH130" s="1008"/>
      <c r="BI130" s="1008"/>
      <c r="BJ130" s="1008"/>
      <c r="BK130" s="1008"/>
      <c r="BL130" s="1008"/>
      <c r="BM130" s="1008"/>
      <c r="BN130" s="1008"/>
      <c r="BO130" s="1008"/>
      <c r="BP130" s="1008"/>
      <c r="BQ130" s="1011">
        <f t="shared" si="105"/>
        <v>0</v>
      </c>
      <c r="BR130" s="1008">
        <f t="shared" ref="BR130:BR161" si="147">SUM(BS130:CL130)</f>
        <v>0</v>
      </c>
      <c r="BS130" s="1008">
        <f t="shared" ref="BS130:BS150" si="148">+Z130-AW130</f>
        <v>0</v>
      </c>
      <c r="BT130" s="1008">
        <f t="shared" ref="BT130:BT150" si="149">AA130-AX130</f>
        <v>0</v>
      </c>
      <c r="BU130" s="1008"/>
      <c r="BV130" s="1008">
        <f t="shared" ref="BV130:BW150" si="150">AC130-AZ130</f>
        <v>0</v>
      </c>
      <c r="BW130" s="1008">
        <f t="shared" si="150"/>
        <v>0</v>
      </c>
      <c r="BX130" s="1008">
        <f t="shared" ref="BX130:BY150" si="151">+AE130-BB130</f>
        <v>0</v>
      </c>
      <c r="BY130" s="1008">
        <f t="shared" si="151"/>
        <v>0</v>
      </c>
      <c r="BZ130" s="1008"/>
      <c r="CA130" s="1008">
        <f t="shared" ref="CA130:CI150" si="152">+AH130-BE130</f>
        <v>0</v>
      </c>
      <c r="CB130" s="1008">
        <f t="shared" si="152"/>
        <v>0</v>
      </c>
      <c r="CC130" s="1008">
        <f t="shared" si="152"/>
        <v>0</v>
      </c>
      <c r="CD130" s="1008">
        <f t="shared" si="152"/>
        <v>0</v>
      </c>
      <c r="CE130" s="1008">
        <f t="shared" si="152"/>
        <v>0</v>
      </c>
      <c r="CF130" s="1008">
        <f t="shared" si="152"/>
        <v>0</v>
      </c>
      <c r="CG130" s="1008">
        <f t="shared" si="152"/>
        <v>0</v>
      </c>
      <c r="CH130" s="1008">
        <f t="shared" si="152"/>
        <v>0</v>
      </c>
      <c r="CI130" s="1008">
        <f t="shared" si="152"/>
        <v>0</v>
      </c>
      <c r="CJ130" s="1008"/>
      <c r="CK130" s="1008"/>
      <c r="CL130" s="1008">
        <f t="shared" ref="CL130:CL150" si="153">+AS130-BP130</f>
        <v>0</v>
      </c>
      <c r="CM130" s="1011">
        <f t="shared" si="113"/>
        <v>1</v>
      </c>
      <c r="CN130" s="1008">
        <f t="shared" ref="CN130:CN161" si="154">SUM(CO130:DH130)</f>
        <v>3000000</v>
      </c>
      <c r="CO130" s="1008"/>
      <c r="CP130" s="1008"/>
      <c r="CQ130" s="1008"/>
      <c r="CR130" s="1008"/>
      <c r="CS130" s="1008"/>
      <c r="CT130" s="1008">
        <f>+'[10]MARZO 2015'!$H$1117</f>
        <v>3000000</v>
      </c>
      <c r="CU130" s="1008"/>
      <c r="CV130" s="1008"/>
      <c r="CW130" s="1008"/>
      <c r="CX130" s="1008"/>
      <c r="CY130" s="1008"/>
      <c r="CZ130" s="1008"/>
      <c r="DA130" s="1008"/>
      <c r="DB130" s="1008"/>
      <c r="DC130" s="1008"/>
      <c r="DD130" s="1008"/>
      <c r="DE130" s="1008"/>
      <c r="DF130" s="1008"/>
      <c r="DG130" s="1008"/>
      <c r="DH130" s="1008"/>
      <c r="DI130" s="1011">
        <f t="shared" si="115"/>
        <v>0</v>
      </c>
      <c r="DJ130" s="1008">
        <f t="shared" ref="DJ130:DJ161" si="155">SUM(DK130:ED130)</f>
        <v>0</v>
      </c>
      <c r="DK130" s="1008"/>
      <c r="DL130" s="1008"/>
      <c r="DM130" s="1008"/>
      <c r="DN130" s="1008">
        <f t="shared" ref="DN130:DQ150" si="156">AC130-CR130</f>
        <v>0</v>
      </c>
      <c r="DO130" s="1008">
        <f t="shared" si="156"/>
        <v>0</v>
      </c>
      <c r="DP130" s="1008">
        <f t="shared" si="156"/>
        <v>0</v>
      </c>
      <c r="DQ130" s="1008">
        <f t="shared" si="156"/>
        <v>0</v>
      </c>
      <c r="DR130" s="1008"/>
      <c r="DS130" s="1008">
        <f t="shared" ref="DS130:DT150" si="157">+AH130-CW130</f>
        <v>0</v>
      </c>
      <c r="DT130" s="1008">
        <f t="shared" si="157"/>
        <v>0</v>
      </c>
      <c r="DU130" s="1008"/>
      <c r="DV130" s="1008">
        <f t="shared" ref="DV130:DX150" si="158">AK130-CZ130</f>
        <v>0</v>
      </c>
      <c r="DW130" s="1008">
        <f t="shared" si="158"/>
        <v>0</v>
      </c>
      <c r="DX130" s="1008">
        <f t="shared" si="158"/>
        <v>0</v>
      </c>
      <c r="DY130" s="1008">
        <f t="shared" ref="DY130:EB150" si="159">+AN130-DC130</f>
        <v>0</v>
      </c>
      <c r="DZ130" s="1008">
        <f t="shared" si="159"/>
        <v>0</v>
      </c>
      <c r="EA130" s="1008">
        <f t="shared" si="159"/>
        <v>0</v>
      </c>
      <c r="EB130" s="1008">
        <f t="shared" si="159"/>
        <v>0</v>
      </c>
      <c r="EC130" s="1008"/>
      <c r="ED130" s="1008">
        <f t="shared" ref="ED130:ED150" si="160">+AS130-DH130</f>
        <v>0</v>
      </c>
    </row>
    <row r="131" spans="1:136" ht="81" customHeight="1" x14ac:dyDescent="0.25">
      <c r="A131" s="1560"/>
      <c r="B131" s="989"/>
      <c r="C131" s="1116" t="s">
        <v>4654</v>
      </c>
      <c r="D131" s="1019" t="s">
        <v>4652</v>
      </c>
      <c r="E131" s="995">
        <v>510</v>
      </c>
      <c r="F131" s="1120" t="s">
        <v>4548</v>
      </c>
      <c r="G131" s="1401"/>
      <c r="H131" s="1061">
        <f t="shared" si="143"/>
        <v>6828964</v>
      </c>
      <c r="I131" s="1061">
        <f t="shared" si="144"/>
        <v>171036</v>
      </c>
      <c r="J131" s="1120">
        <v>48124</v>
      </c>
      <c r="K131" s="1115">
        <v>73148</v>
      </c>
      <c r="L131" s="1115">
        <v>49086</v>
      </c>
      <c r="M131" s="1115">
        <v>98</v>
      </c>
      <c r="N131" s="1115">
        <v>30</v>
      </c>
      <c r="O131" s="1115">
        <v>29</v>
      </c>
      <c r="P131" s="1115">
        <v>98</v>
      </c>
      <c r="Q131" s="1115">
        <v>45</v>
      </c>
      <c r="R131" s="1115">
        <v>44</v>
      </c>
      <c r="S131" s="1120"/>
      <c r="T131" s="1120"/>
      <c r="U131" s="1120"/>
      <c r="V131" s="1120"/>
      <c r="W131" s="1120"/>
      <c r="X131" s="1120"/>
      <c r="Y131" s="1008">
        <f t="shared" si="145"/>
        <v>7000000</v>
      </c>
      <c r="Z131" s="1008"/>
      <c r="AA131" s="1008"/>
      <c r="AB131" s="1008"/>
      <c r="AC131" s="1008"/>
      <c r="AD131" s="1008"/>
      <c r="AE131" s="1008">
        <v>7000000</v>
      </c>
      <c r="AF131" s="1008"/>
      <c r="AG131" s="1008"/>
      <c r="AH131" s="1008"/>
      <c r="AI131" s="1008"/>
      <c r="AJ131" s="1008"/>
      <c r="AK131" s="1008"/>
      <c r="AL131" s="1008"/>
      <c r="AM131" s="1008"/>
      <c r="AN131" s="1008"/>
      <c r="AO131" s="1008"/>
      <c r="AP131" s="1008"/>
      <c r="AQ131" s="1008"/>
      <c r="AR131" s="1008"/>
      <c r="AS131" s="1008"/>
      <c r="AT131" s="984"/>
      <c r="AU131" s="1011">
        <f t="shared" si="103"/>
        <v>0.97557142857142853</v>
      </c>
      <c r="AV131" s="1008">
        <f t="shared" si="146"/>
        <v>6829000</v>
      </c>
      <c r="AW131" s="1008"/>
      <c r="AX131" s="1008"/>
      <c r="AY131" s="1008"/>
      <c r="AZ131" s="1008"/>
      <c r="BA131" s="1008"/>
      <c r="BB131" s="1008">
        <f>+'[10]MARZO 2015'!$N$1122</f>
        <v>6829000</v>
      </c>
      <c r="BC131" s="1008"/>
      <c r="BD131" s="1008"/>
      <c r="BE131" s="1008"/>
      <c r="BF131" s="1008"/>
      <c r="BG131" s="1008"/>
      <c r="BH131" s="1008"/>
      <c r="BI131" s="1008"/>
      <c r="BJ131" s="1008"/>
      <c r="BK131" s="1008"/>
      <c r="BL131" s="1008"/>
      <c r="BM131" s="1008"/>
      <c r="BN131" s="1008"/>
      <c r="BO131" s="1008"/>
      <c r="BP131" s="1008"/>
      <c r="BQ131" s="1011">
        <f t="shared" si="105"/>
        <v>2.4428571428571466E-2</v>
      </c>
      <c r="BR131" s="1008">
        <f t="shared" si="147"/>
        <v>171000</v>
      </c>
      <c r="BS131" s="1008">
        <f t="shared" si="148"/>
        <v>0</v>
      </c>
      <c r="BT131" s="1008">
        <f t="shared" si="149"/>
        <v>0</v>
      </c>
      <c r="BU131" s="1008"/>
      <c r="BV131" s="1008">
        <f t="shared" si="150"/>
        <v>0</v>
      </c>
      <c r="BW131" s="1008">
        <f t="shared" si="150"/>
        <v>0</v>
      </c>
      <c r="BX131" s="1008">
        <f t="shared" si="151"/>
        <v>171000</v>
      </c>
      <c r="BY131" s="1008">
        <f t="shared" si="151"/>
        <v>0</v>
      </c>
      <c r="BZ131" s="1008"/>
      <c r="CA131" s="1008">
        <f t="shared" si="152"/>
        <v>0</v>
      </c>
      <c r="CB131" s="1008">
        <f t="shared" si="152"/>
        <v>0</v>
      </c>
      <c r="CC131" s="1008">
        <f t="shared" si="152"/>
        <v>0</v>
      </c>
      <c r="CD131" s="1008">
        <f t="shared" si="152"/>
        <v>0</v>
      </c>
      <c r="CE131" s="1008">
        <f t="shared" si="152"/>
        <v>0</v>
      </c>
      <c r="CF131" s="1008">
        <f t="shared" si="152"/>
        <v>0</v>
      </c>
      <c r="CG131" s="1008">
        <f t="shared" si="152"/>
        <v>0</v>
      </c>
      <c r="CH131" s="1008">
        <f t="shared" si="152"/>
        <v>0</v>
      </c>
      <c r="CI131" s="1008">
        <f t="shared" si="152"/>
        <v>0</v>
      </c>
      <c r="CJ131" s="1008"/>
      <c r="CK131" s="1008"/>
      <c r="CL131" s="1008">
        <f t="shared" si="153"/>
        <v>0</v>
      </c>
      <c r="CM131" s="1011">
        <f t="shared" si="113"/>
        <v>0.97556628571428572</v>
      </c>
      <c r="CN131" s="1008">
        <f t="shared" si="154"/>
        <v>6828964</v>
      </c>
      <c r="CO131" s="1008"/>
      <c r="CP131" s="1008"/>
      <c r="CQ131" s="1008"/>
      <c r="CR131" s="1008"/>
      <c r="CS131" s="1008"/>
      <c r="CT131" s="1008">
        <f>+'[10]MARZO 2015'!$H$1120</f>
        <v>6828964</v>
      </c>
      <c r="CU131" s="1008"/>
      <c r="CV131" s="1008"/>
      <c r="CW131" s="1008"/>
      <c r="CX131" s="1008"/>
      <c r="CY131" s="1008"/>
      <c r="CZ131" s="1008"/>
      <c r="DA131" s="1008"/>
      <c r="DB131" s="1008"/>
      <c r="DC131" s="1008"/>
      <c r="DD131" s="1008"/>
      <c r="DE131" s="1008"/>
      <c r="DF131" s="1008"/>
      <c r="DG131" s="1008"/>
      <c r="DH131" s="1008"/>
      <c r="DI131" s="1011">
        <f t="shared" si="115"/>
        <v>2.4433714285714281E-2</v>
      </c>
      <c r="DJ131" s="1008">
        <f t="shared" si="155"/>
        <v>171036</v>
      </c>
      <c r="DK131" s="1008"/>
      <c r="DL131" s="1008"/>
      <c r="DM131" s="1008"/>
      <c r="DN131" s="1008">
        <f t="shared" si="156"/>
        <v>0</v>
      </c>
      <c r="DO131" s="1008">
        <f t="shared" si="156"/>
        <v>0</v>
      </c>
      <c r="DP131" s="1008">
        <f t="shared" si="156"/>
        <v>171036</v>
      </c>
      <c r="DQ131" s="1008">
        <f t="shared" si="156"/>
        <v>0</v>
      </c>
      <c r="DR131" s="1008"/>
      <c r="DS131" s="1008">
        <f t="shared" si="157"/>
        <v>0</v>
      </c>
      <c r="DT131" s="1008">
        <f t="shared" si="157"/>
        <v>0</v>
      </c>
      <c r="DU131" s="1008"/>
      <c r="DV131" s="1008">
        <f t="shared" si="158"/>
        <v>0</v>
      </c>
      <c r="DW131" s="1008">
        <f t="shared" si="158"/>
        <v>0</v>
      </c>
      <c r="DX131" s="1008">
        <f t="shared" si="158"/>
        <v>0</v>
      </c>
      <c r="DY131" s="1008">
        <f t="shared" si="159"/>
        <v>0</v>
      </c>
      <c r="DZ131" s="1008">
        <f t="shared" si="159"/>
        <v>0</v>
      </c>
      <c r="EA131" s="1008">
        <f t="shared" si="159"/>
        <v>0</v>
      </c>
      <c r="EB131" s="1008">
        <f t="shared" si="159"/>
        <v>0</v>
      </c>
      <c r="EC131" s="1008"/>
      <c r="ED131" s="1008">
        <f t="shared" si="160"/>
        <v>0</v>
      </c>
      <c r="EF131" s="1"/>
    </row>
    <row r="132" spans="1:136" ht="83.25" customHeight="1" x14ac:dyDescent="0.25">
      <c r="A132" s="1560"/>
      <c r="B132" s="989" t="s">
        <v>4449</v>
      </c>
      <c r="C132" s="852" t="s">
        <v>4485</v>
      </c>
      <c r="D132" s="1019" t="s">
        <v>4584</v>
      </c>
      <c r="E132" s="995">
        <v>111</v>
      </c>
      <c r="F132" s="1120" t="s">
        <v>4482</v>
      </c>
      <c r="G132" s="1399">
        <v>20073000000</v>
      </c>
      <c r="H132" s="1061">
        <f t="shared" si="143"/>
        <v>0</v>
      </c>
      <c r="I132" s="1061">
        <f t="shared" si="144"/>
        <v>600000000</v>
      </c>
      <c r="J132" s="1120">
        <v>32909</v>
      </c>
      <c r="K132" s="1115">
        <v>47093</v>
      </c>
      <c r="L132" s="1115">
        <v>34554</v>
      </c>
      <c r="M132" s="1115">
        <v>0</v>
      </c>
      <c r="N132" s="1115">
        <v>0</v>
      </c>
      <c r="O132" s="1115">
        <v>0</v>
      </c>
      <c r="P132" s="1115">
        <v>0</v>
      </c>
      <c r="Q132" s="1115">
        <v>0</v>
      </c>
      <c r="R132" s="1115">
        <v>0</v>
      </c>
      <c r="S132" s="1120"/>
      <c r="T132" s="1120"/>
      <c r="U132" s="1120"/>
      <c r="V132" s="1120"/>
      <c r="W132" s="1120"/>
      <c r="X132" s="1120"/>
      <c r="Y132" s="1008">
        <f t="shared" si="145"/>
        <v>600000000</v>
      </c>
      <c r="Z132" s="1008"/>
      <c r="AA132" s="1008"/>
      <c r="AB132" s="1008"/>
      <c r="AC132" s="1008">
        <f>1590000000+400000000-850705529-550000000</f>
        <v>589294471</v>
      </c>
      <c r="AD132" s="1008"/>
      <c r="AE132" s="1008">
        <f>5000000</f>
        <v>5000000</v>
      </c>
      <c r="AF132" s="1008"/>
      <c r="AG132" s="1008"/>
      <c r="AH132" s="1008"/>
      <c r="AI132" s="1008"/>
      <c r="AJ132" s="1008"/>
      <c r="AK132" s="1008"/>
      <c r="AL132" s="1008"/>
      <c r="AM132" s="1008"/>
      <c r="AN132" s="1008"/>
      <c r="AO132" s="1008">
        <f>55705529-50000000</f>
        <v>5705529</v>
      </c>
      <c r="AP132" s="1008"/>
      <c r="AQ132" s="1008"/>
      <c r="AR132" s="1008"/>
      <c r="AS132" s="1008"/>
      <c r="AT132" s="984"/>
      <c r="AU132" s="1011">
        <f t="shared" si="103"/>
        <v>0</v>
      </c>
      <c r="AV132" s="1008">
        <f t="shared" si="146"/>
        <v>0</v>
      </c>
      <c r="AW132" s="1008"/>
      <c r="AX132" s="1008"/>
      <c r="AY132" s="1008"/>
      <c r="AZ132" s="1008"/>
      <c r="BA132" s="1008"/>
      <c r="BB132" s="1008"/>
      <c r="BC132" s="1008"/>
      <c r="BD132" s="1008"/>
      <c r="BE132" s="1008"/>
      <c r="BF132" s="1008"/>
      <c r="BG132" s="1008"/>
      <c r="BH132" s="1008"/>
      <c r="BI132" s="1008"/>
      <c r="BJ132" s="1008"/>
      <c r="BK132" s="1008"/>
      <c r="BL132" s="1008"/>
      <c r="BM132" s="1008"/>
      <c r="BN132" s="1008"/>
      <c r="BO132" s="1008"/>
      <c r="BP132" s="1008"/>
      <c r="BQ132" s="1011">
        <f t="shared" si="105"/>
        <v>1</v>
      </c>
      <c r="BR132" s="1008">
        <f t="shared" si="147"/>
        <v>600000000</v>
      </c>
      <c r="BS132" s="1008">
        <f t="shared" si="148"/>
        <v>0</v>
      </c>
      <c r="BT132" s="1008">
        <f t="shared" si="149"/>
        <v>0</v>
      </c>
      <c r="BU132" s="1008"/>
      <c r="BV132" s="1008">
        <f t="shared" si="150"/>
        <v>589294471</v>
      </c>
      <c r="BW132" s="1008">
        <f t="shared" si="150"/>
        <v>0</v>
      </c>
      <c r="BX132" s="1008">
        <f t="shared" si="151"/>
        <v>5000000</v>
      </c>
      <c r="BY132" s="1008">
        <f t="shared" si="151"/>
        <v>0</v>
      </c>
      <c r="BZ132" s="1008"/>
      <c r="CA132" s="1008">
        <f t="shared" si="152"/>
        <v>0</v>
      </c>
      <c r="CB132" s="1008">
        <f t="shared" si="152"/>
        <v>0</v>
      </c>
      <c r="CC132" s="1008">
        <f t="shared" si="152"/>
        <v>0</v>
      </c>
      <c r="CD132" s="1008">
        <f t="shared" si="152"/>
        <v>0</v>
      </c>
      <c r="CE132" s="1008">
        <f t="shared" si="152"/>
        <v>0</v>
      </c>
      <c r="CF132" s="1008">
        <f t="shared" si="152"/>
        <v>0</v>
      </c>
      <c r="CG132" s="1008">
        <f t="shared" si="152"/>
        <v>0</v>
      </c>
      <c r="CH132" s="1008">
        <f t="shared" si="152"/>
        <v>5705529</v>
      </c>
      <c r="CI132" s="1008">
        <f t="shared" si="152"/>
        <v>0</v>
      </c>
      <c r="CJ132" s="1008"/>
      <c r="CK132" s="1008"/>
      <c r="CL132" s="1008">
        <f t="shared" si="153"/>
        <v>0</v>
      </c>
      <c r="CM132" s="1011">
        <f t="shared" si="113"/>
        <v>0</v>
      </c>
      <c r="CN132" s="1008">
        <f t="shared" si="154"/>
        <v>0</v>
      </c>
      <c r="CO132" s="1008"/>
      <c r="CP132" s="1008"/>
      <c r="CQ132" s="1008"/>
      <c r="CR132" s="1008"/>
      <c r="CS132" s="1008"/>
      <c r="CT132" s="1008"/>
      <c r="CU132" s="1008"/>
      <c r="CV132" s="1008"/>
      <c r="CW132" s="1008"/>
      <c r="CX132" s="1008"/>
      <c r="CY132" s="1008"/>
      <c r="CZ132" s="1008"/>
      <c r="DA132" s="1008"/>
      <c r="DB132" s="1008"/>
      <c r="DC132" s="1008"/>
      <c r="DD132" s="1008"/>
      <c r="DE132" s="1008"/>
      <c r="DF132" s="1008"/>
      <c r="DG132" s="1008"/>
      <c r="DH132" s="1008"/>
      <c r="DI132" s="1011">
        <f t="shared" si="115"/>
        <v>1</v>
      </c>
      <c r="DJ132" s="1008">
        <f t="shared" si="155"/>
        <v>600000000</v>
      </c>
      <c r="DK132" s="1008"/>
      <c r="DL132" s="1008"/>
      <c r="DM132" s="1008"/>
      <c r="DN132" s="1008">
        <f t="shared" si="156"/>
        <v>589294471</v>
      </c>
      <c r="DO132" s="1008">
        <f t="shared" si="156"/>
        <v>0</v>
      </c>
      <c r="DP132" s="1008">
        <f t="shared" si="156"/>
        <v>5000000</v>
      </c>
      <c r="DQ132" s="1008">
        <f t="shared" si="156"/>
        <v>0</v>
      </c>
      <c r="DR132" s="1008"/>
      <c r="DS132" s="1008">
        <f t="shared" si="157"/>
        <v>0</v>
      </c>
      <c r="DT132" s="1008">
        <f t="shared" si="157"/>
        <v>0</v>
      </c>
      <c r="DU132" s="1008"/>
      <c r="DV132" s="1008">
        <f t="shared" si="158"/>
        <v>0</v>
      </c>
      <c r="DW132" s="1008">
        <f t="shared" si="158"/>
        <v>0</v>
      </c>
      <c r="DX132" s="1008">
        <f t="shared" si="158"/>
        <v>0</v>
      </c>
      <c r="DY132" s="1008">
        <f t="shared" si="159"/>
        <v>0</v>
      </c>
      <c r="DZ132" s="1008">
        <f t="shared" si="159"/>
        <v>5705529</v>
      </c>
      <c r="EA132" s="1008">
        <f t="shared" si="159"/>
        <v>0</v>
      </c>
      <c r="EB132" s="1008">
        <f t="shared" si="159"/>
        <v>0</v>
      </c>
      <c r="EC132" s="1008"/>
      <c r="ED132" s="1008">
        <f t="shared" si="160"/>
        <v>0</v>
      </c>
    </row>
    <row r="133" spans="1:136" s="203" customFormat="1" ht="36" customHeight="1" x14ac:dyDescent="0.25">
      <c r="A133" s="1560"/>
      <c r="B133" s="989"/>
      <c r="C133" s="1081" t="s">
        <v>4486</v>
      </c>
      <c r="D133" s="1019" t="s">
        <v>4469</v>
      </c>
      <c r="E133" s="997">
        <v>111</v>
      </c>
      <c r="F133" s="1120" t="s">
        <v>4482</v>
      </c>
      <c r="G133" s="1400"/>
      <c r="H133" s="1061">
        <f t="shared" si="143"/>
        <v>0</v>
      </c>
      <c r="I133" s="1061">
        <f t="shared" si="144"/>
        <v>830000000</v>
      </c>
      <c r="J133" s="1120">
        <v>42349</v>
      </c>
      <c r="K133" s="1115">
        <v>50522</v>
      </c>
      <c r="L133" s="1115">
        <v>43238</v>
      </c>
      <c r="M133" s="1075">
        <v>0</v>
      </c>
      <c r="N133" s="1075">
        <v>0</v>
      </c>
      <c r="O133" s="1075">
        <v>0</v>
      </c>
      <c r="P133" s="1075"/>
      <c r="Q133" s="1075"/>
      <c r="R133" s="1075"/>
      <c r="S133" s="1120"/>
      <c r="T133" s="1120"/>
      <c r="U133" s="1120"/>
      <c r="V133" s="1120"/>
      <c r="W133" s="1120"/>
      <c r="X133" s="1120"/>
      <c r="Y133" s="1067">
        <f t="shared" si="145"/>
        <v>830000000</v>
      </c>
      <c r="Z133" s="1067"/>
      <c r="AA133" s="1067"/>
      <c r="AB133" s="1067"/>
      <c r="AC133" s="1067">
        <v>830000000</v>
      </c>
      <c r="AD133" s="1067"/>
      <c r="AE133" s="1067"/>
      <c r="AF133" s="1067"/>
      <c r="AG133" s="1067"/>
      <c r="AH133" s="1067"/>
      <c r="AI133" s="1067"/>
      <c r="AJ133" s="1067"/>
      <c r="AK133" s="1067"/>
      <c r="AL133" s="1067"/>
      <c r="AM133" s="1067"/>
      <c r="AN133" s="1067"/>
      <c r="AO133" s="1067"/>
      <c r="AP133" s="1067"/>
      <c r="AQ133" s="1067"/>
      <c r="AR133" s="1067"/>
      <c r="AS133" s="1067"/>
      <c r="AT133" s="1089"/>
      <c r="AU133" s="1082">
        <f t="shared" si="103"/>
        <v>0.93501395783132535</v>
      </c>
      <c r="AV133" s="1067">
        <f t="shared" si="146"/>
        <v>776061585</v>
      </c>
      <c r="AW133" s="1067"/>
      <c r="AX133" s="1067"/>
      <c r="AY133" s="1067"/>
      <c r="AZ133" s="1067">
        <f>+'[18]OCTUBRE 2015'!$M$24</f>
        <v>776061585</v>
      </c>
      <c r="BA133" s="1067"/>
      <c r="BB133" s="1067"/>
      <c r="BC133" s="1067"/>
      <c r="BD133" s="1067"/>
      <c r="BE133" s="1067"/>
      <c r="BF133" s="1067"/>
      <c r="BG133" s="1067"/>
      <c r="BH133" s="1067"/>
      <c r="BI133" s="1067"/>
      <c r="BJ133" s="1067"/>
      <c r="BK133" s="1067"/>
      <c r="BL133" s="1067"/>
      <c r="BM133" s="1067"/>
      <c r="BN133" s="1067"/>
      <c r="BO133" s="1067"/>
      <c r="BP133" s="1067"/>
      <c r="BQ133" s="1082">
        <f t="shared" si="105"/>
        <v>6.4986042168674651E-2</v>
      </c>
      <c r="BR133" s="1067">
        <f t="shared" si="147"/>
        <v>53938415</v>
      </c>
      <c r="BS133" s="1067">
        <f t="shared" si="148"/>
        <v>0</v>
      </c>
      <c r="BT133" s="1067">
        <f t="shared" si="149"/>
        <v>0</v>
      </c>
      <c r="BU133" s="1067"/>
      <c r="BV133" s="1067">
        <f t="shared" si="150"/>
        <v>53938415</v>
      </c>
      <c r="BW133" s="1067">
        <f t="shared" si="150"/>
        <v>0</v>
      </c>
      <c r="BX133" s="1067">
        <f t="shared" si="151"/>
        <v>0</v>
      </c>
      <c r="BY133" s="1067">
        <f t="shared" si="151"/>
        <v>0</v>
      </c>
      <c r="BZ133" s="1067"/>
      <c r="CA133" s="1067">
        <f t="shared" si="152"/>
        <v>0</v>
      </c>
      <c r="CB133" s="1067">
        <f t="shared" si="152"/>
        <v>0</v>
      </c>
      <c r="CC133" s="1067">
        <f t="shared" si="152"/>
        <v>0</v>
      </c>
      <c r="CD133" s="1067">
        <f t="shared" si="152"/>
        <v>0</v>
      </c>
      <c r="CE133" s="1067">
        <f t="shared" si="152"/>
        <v>0</v>
      </c>
      <c r="CF133" s="1067">
        <f t="shared" si="152"/>
        <v>0</v>
      </c>
      <c r="CG133" s="1067">
        <f t="shared" si="152"/>
        <v>0</v>
      </c>
      <c r="CH133" s="1067">
        <f t="shared" si="152"/>
        <v>0</v>
      </c>
      <c r="CI133" s="1067">
        <f t="shared" si="152"/>
        <v>0</v>
      </c>
      <c r="CJ133" s="1067"/>
      <c r="CK133" s="1067"/>
      <c r="CL133" s="1067">
        <f t="shared" si="153"/>
        <v>0</v>
      </c>
      <c r="CM133" s="1082">
        <f t="shared" si="113"/>
        <v>0</v>
      </c>
      <c r="CN133" s="1067">
        <f t="shared" si="154"/>
        <v>0</v>
      </c>
      <c r="CO133" s="1067"/>
      <c r="CP133" s="1067"/>
      <c r="CQ133" s="1067"/>
      <c r="CR133" s="1067"/>
      <c r="CS133" s="1067"/>
      <c r="CT133" s="1067"/>
      <c r="CU133" s="1067"/>
      <c r="CV133" s="1067"/>
      <c r="CW133" s="1067"/>
      <c r="CX133" s="1067"/>
      <c r="CY133" s="1067"/>
      <c r="CZ133" s="1067"/>
      <c r="DA133" s="1067"/>
      <c r="DB133" s="1067"/>
      <c r="DC133" s="1067"/>
      <c r="DD133" s="1067"/>
      <c r="DE133" s="1067"/>
      <c r="DF133" s="1067"/>
      <c r="DG133" s="1067"/>
      <c r="DH133" s="1067"/>
      <c r="DI133" s="1082">
        <f t="shared" si="115"/>
        <v>1</v>
      </c>
      <c r="DJ133" s="1067">
        <f t="shared" si="155"/>
        <v>830000000</v>
      </c>
      <c r="DK133" s="1067"/>
      <c r="DL133" s="1067"/>
      <c r="DM133" s="1067"/>
      <c r="DN133" s="1067">
        <f t="shared" si="156"/>
        <v>830000000</v>
      </c>
      <c r="DO133" s="1067">
        <f t="shared" si="156"/>
        <v>0</v>
      </c>
      <c r="DP133" s="1067">
        <f t="shared" si="156"/>
        <v>0</v>
      </c>
      <c r="DQ133" s="1067">
        <f t="shared" si="156"/>
        <v>0</v>
      </c>
      <c r="DR133" s="1067"/>
      <c r="DS133" s="1067">
        <f t="shared" si="157"/>
        <v>0</v>
      </c>
      <c r="DT133" s="1067">
        <f t="shared" si="157"/>
        <v>0</v>
      </c>
      <c r="DU133" s="1067"/>
      <c r="DV133" s="1067">
        <f t="shared" si="158"/>
        <v>0</v>
      </c>
      <c r="DW133" s="1067">
        <f t="shared" si="158"/>
        <v>0</v>
      </c>
      <c r="DX133" s="1067">
        <f t="shared" si="158"/>
        <v>0</v>
      </c>
      <c r="DY133" s="1067">
        <f t="shared" si="159"/>
        <v>0</v>
      </c>
      <c r="DZ133" s="1067">
        <f t="shared" si="159"/>
        <v>0</v>
      </c>
      <c r="EA133" s="1067">
        <f t="shared" si="159"/>
        <v>0</v>
      </c>
      <c r="EB133" s="1067">
        <f t="shared" si="159"/>
        <v>0</v>
      </c>
      <c r="EC133" s="1067"/>
      <c r="ED133" s="1067">
        <f t="shared" si="160"/>
        <v>0</v>
      </c>
    </row>
    <row r="134" spans="1:136" ht="37.5" customHeight="1" x14ac:dyDescent="0.25">
      <c r="A134" s="1560"/>
      <c r="B134" s="989"/>
      <c r="C134" s="852" t="s">
        <v>4487</v>
      </c>
      <c r="D134" s="1019" t="s">
        <v>4470</v>
      </c>
      <c r="E134" s="995">
        <v>111</v>
      </c>
      <c r="F134" s="1120" t="s">
        <v>4482</v>
      </c>
      <c r="G134" s="1400"/>
      <c r="H134" s="1061">
        <f t="shared" si="143"/>
        <v>349660736</v>
      </c>
      <c r="I134" s="1061">
        <f t="shared" si="144"/>
        <v>339264</v>
      </c>
      <c r="J134" s="1120">
        <v>28874</v>
      </c>
      <c r="K134" s="1115">
        <v>48220</v>
      </c>
      <c r="L134" s="1115">
        <v>31184</v>
      </c>
      <c r="M134" s="1115">
        <v>0</v>
      </c>
      <c r="N134" s="1115">
        <v>0</v>
      </c>
      <c r="O134" s="1115">
        <v>0</v>
      </c>
      <c r="P134" s="1115">
        <v>0</v>
      </c>
      <c r="Q134" s="1115"/>
      <c r="R134" s="1115">
        <v>0</v>
      </c>
      <c r="S134" s="1120"/>
      <c r="T134" s="1120"/>
      <c r="U134" s="1120"/>
      <c r="V134" s="1120"/>
      <c r="W134" s="1120"/>
      <c r="X134" s="1120"/>
      <c r="Y134" s="1008">
        <f t="shared" si="145"/>
        <v>350000000</v>
      </c>
      <c r="Z134" s="1008"/>
      <c r="AA134" s="1008"/>
      <c r="AB134" s="1008"/>
      <c r="AC134" s="1008">
        <f>212000000+103000000+12000000</f>
        <v>327000000</v>
      </c>
      <c r="AD134" s="1008"/>
      <c r="AE134" s="1008"/>
      <c r="AF134" s="1008"/>
      <c r="AG134" s="1008"/>
      <c r="AH134" s="1008"/>
      <c r="AI134" s="1008"/>
      <c r="AJ134" s="1008"/>
      <c r="AK134" s="1008"/>
      <c r="AL134" s="1008"/>
      <c r="AM134" s="1008"/>
      <c r="AN134" s="1008"/>
      <c r="AO134" s="1008">
        <v>23000000</v>
      </c>
      <c r="AP134" s="1008"/>
      <c r="AQ134" s="1008"/>
      <c r="AR134" s="1008"/>
      <c r="AS134" s="1008"/>
      <c r="AT134" s="984"/>
      <c r="AU134" s="1011">
        <f t="shared" si="103"/>
        <v>0.99903067428571424</v>
      </c>
      <c r="AV134" s="1008">
        <f t="shared" si="146"/>
        <v>349660736</v>
      </c>
      <c r="AW134" s="1008"/>
      <c r="AX134" s="1008"/>
      <c r="AY134" s="1008"/>
      <c r="AZ134" s="1008">
        <f>+'[18]OCTUBRE 2015'!$M$28</f>
        <v>326999042</v>
      </c>
      <c r="BA134" s="1008"/>
      <c r="BB134" s="1008"/>
      <c r="BC134" s="1008"/>
      <c r="BD134" s="1008"/>
      <c r="BE134" s="1008"/>
      <c r="BF134" s="1008"/>
      <c r="BG134" s="1008"/>
      <c r="BH134" s="1008"/>
      <c r="BI134" s="1008"/>
      <c r="BJ134" s="1008"/>
      <c r="BK134" s="1008"/>
      <c r="BL134" s="1008">
        <f>+'[17]SEPTIEMBRE 2015'!$Y$28</f>
        <v>22661694</v>
      </c>
      <c r="BM134" s="1008"/>
      <c r="BN134" s="1008"/>
      <c r="BO134" s="1008"/>
      <c r="BP134" s="1008"/>
      <c r="BQ134" s="1011">
        <f t="shared" si="105"/>
        <v>9.6932571428576253E-4</v>
      </c>
      <c r="BR134" s="1008">
        <f t="shared" si="147"/>
        <v>339264</v>
      </c>
      <c r="BS134" s="1008">
        <f t="shared" si="148"/>
        <v>0</v>
      </c>
      <c r="BT134" s="1008">
        <f t="shared" si="149"/>
        <v>0</v>
      </c>
      <c r="BU134" s="1008"/>
      <c r="BV134" s="1008">
        <f t="shared" si="150"/>
        <v>958</v>
      </c>
      <c r="BW134" s="1008">
        <f t="shared" si="150"/>
        <v>0</v>
      </c>
      <c r="BX134" s="1008">
        <f t="shared" si="151"/>
        <v>0</v>
      </c>
      <c r="BY134" s="1008">
        <f t="shared" si="151"/>
        <v>0</v>
      </c>
      <c r="BZ134" s="1008"/>
      <c r="CA134" s="1008">
        <f t="shared" si="152"/>
        <v>0</v>
      </c>
      <c r="CB134" s="1008">
        <f t="shared" si="152"/>
        <v>0</v>
      </c>
      <c r="CC134" s="1008">
        <f t="shared" si="152"/>
        <v>0</v>
      </c>
      <c r="CD134" s="1008">
        <f t="shared" si="152"/>
        <v>0</v>
      </c>
      <c r="CE134" s="1008">
        <f t="shared" si="152"/>
        <v>0</v>
      </c>
      <c r="CF134" s="1008">
        <f t="shared" si="152"/>
        <v>0</v>
      </c>
      <c r="CG134" s="1008">
        <f t="shared" si="152"/>
        <v>0</v>
      </c>
      <c r="CH134" s="1008">
        <f t="shared" si="152"/>
        <v>338306</v>
      </c>
      <c r="CI134" s="1008">
        <f t="shared" si="152"/>
        <v>0</v>
      </c>
      <c r="CJ134" s="1008"/>
      <c r="CK134" s="1008"/>
      <c r="CL134" s="1008">
        <f t="shared" si="153"/>
        <v>0</v>
      </c>
      <c r="CM134" s="1011">
        <f t="shared" si="113"/>
        <v>0.99903067428571424</v>
      </c>
      <c r="CN134" s="1008">
        <f t="shared" si="154"/>
        <v>349660736</v>
      </c>
      <c r="CO134" s="1008"/>
      <c r="CP134" s="1008"/>
      <c r="CQ134" s="1008"/>
      <c r="CR134" s="1008">
        <f>+'[18]OCTUBRE 2015'!$H$29+'[18]OCTUBRE 2015'!$H$31</f>
        <v>326999042</v>
      </c>
      <c r="CS134" s="1008"/>
      <c r="CT134" s="1008"/>
      <c r="CU134" s="1008"/>
      <c r="CV134" s="1008"/>
      <c r="CW134" s="1008"/>
      <c r="CX134" s="1008"/>
      <c r="CY134" s="1008"/>
      <c r="CZ134" s="1008"/>
      <c r="DA134" s="1008"/>
      <c r="DB134" s="1008"/>
      <c r="DC134" s="1008"/>
      <c r="DD134" s="1008">
        <f>+'[17]SEPTIEMBRE 2015'!$H$33</f>
        <v>22661694</v>
      </c>
      <c r="DE134" s="1008"/>
      <c r="DF134" s="1008"/>
      <c r="DG134" s="1008"/>
      <c r="DH134" s="1008"/>
      <c r="DI134" s="1011">
        <f t="shared" si="115"/>
        <v>9.6932571428576253E-4</v>
      </c>
      <c r="DJ134" s="1008">
        <f t="shared" si="155"/>
        <v>339264</v>
      </c>
      <c r="DK134" s="1008"/>
      <c r="DL134" s="1008"/>
      <c r="DM134" s="1008"/>
      <c r="DN134" s="1008">
        <f t="shared" si="156"/>
        <v>958</v>
      </c>
      <c r="DO134" s="1008">
        <f t="shared" si="156"/>
        <v>0</v>
      </c>
      <c r="DP134" s="1008">
        <f t="shared" si="156"/>
        <v>0</v>
      </c>
      <c r="DQ134" s="1008">
        <f t="shared" si="156"/>
        <v>0</v>
      </c>
      <c r="DR134" s="1008"/>
      <c r="DS134" s="1008">
        <f t="shared" si="157"/>
        <v>0</v>
      </c>
      <c r="DT134" s="1008">
        <f t="shared" si="157"/>
        <v>0</v>
      </c>
      <c r="DU134" s="1008"/>
      <c r="DV134" s="1008">
        <f t="shared" si="158"/>
        <v>0</v>
      </c>
      <c r="DW134" s="1008">
        <f t="shared" si="158"/>
        <v>0</v>
      </c>
      <c r="DX134" s="1008">
        <f t="shared" si="158"/>
        <v>0</v>
      </c>
      <c r="DY134" s="1008">
        <f t="shared" si="159"/>
        <v>0</v>
      </c>
      <c r="DZ134" s="1008">
        <f t="shared" si="159"/>
        <v>338306</v>
      </c>
      <c r="EA134" s="1008">
        <f t="shared" si="159"/>
        <v>0</v>
      </c>
      <c r="EB134" s="1008">
        <f t="shared" si="159"/>
        <v>0</v>
      </c>
      <c r="EC134" s="1008"/>
      <c r="ED134" s="1008">
        <f t="shared" si="160"/>
        <v>0</v>
      </c>
    </row>
    <row r="135" spans="1:136" ht="33" customHeight="1" x14ac:dyDescent="0.25">
      <c r="A135" s="1560"/>
      <c r="B135" s="989"/>
      <c r="C135" s="852" t="s">
        <v>4488</v>
      </c>
      <c r="D135" s="1019" t="s">
        <v>4471</v>
      </c>
      <c r="E135" s="995">
        <v>111</v>
      </c>
      <c r="F135" s="1120" t="s">
        <v>4482</v>
      </c>
      <c r="G135" s="1400"/>
      <c r="H135" s="1061">
        <f t="shared" si="143"/>
        <v>598906128</v>
      </c>
      <c r="I135" s="1061">
        <f t="shared" si="144"/>
        <v>7460796</v>
      </c>
      <c r="J135" s="1120">
        <v>55000</v>
      </c>
      <c r="K135" s="1115">
        <v>85140</v>
      </c>
      <c r="L135" s="1115">
        <v>57970</v>
      </c>
      <c r="M135" s="1115">
        <v>41</v>
      </c>
      <c r="N135" s="1115">
        <v>25</v>
      </c>
      <c r="O135" s="1115">
        <v>10</v>
      </c>
      <c r="P135" s="1115">
        <v>97</v>
      </c>
      <c r="Q135" s="1115">
        <v>25</v>
      </c>
      <c r="R135" s="1115">
        <v>24</v>
      </c>
      <c r="S135" s="1120"/>
      <c r="T135" s="1120"/>
      <c r="U135" s="1120"/>
      <c r="V135" s="1120"/>
      <c r="W135" s="1120"/>
      <c r="X135" s="1120"/>
      <c r="Y135" s="1008">
        <f t="shared" si="145"/>
        <v>606366924</v>
      </c>
      <c r="Z135" s="1008"/>
      <c r="AA135" s="1008"/>
      <c r="AB135" s="1008"/>
      <c r="AC135" s="1008">
        <f>636000000+213203847-262848257</f>
        <v>586355590</v>
      </c>
      <c r="AD135" s="1008">
        <f>20011334</f>
        <v>20011334</v>
      </c>
      <c r="AE135" s="1008"/>
      <c r="AF135" s="1008"/>
      <c r="AG135" s="1008"/>
      <c r="AH135" s="1008"/>
      <c r="AI135" s="1008"/>
      <c r="AJ135" s="1008"/>
      <c r="AK135" s="1008"/>
      <c r="AL135" s="1008"/>
      <c r="AM135" s="1008"/>
      <c r="AN135" s="1008"/>
      <c r="AO135" s="1008"/>
      <c r="AP135" s="1008"/>
      <c r="AQ135" s="1008"/>
      <c r="AR135" s="1008"/>
      <c r="AS135" s="1008"/>
      <c r="AT135" s="984"/>
      <c r="AU135" s="1011">
        <f t="shared" si="103"/>
        <v>0.9958638146298362</v>
      </c>
      <c r="AV135" s="1008">
        <f t="shared" si="146"/>
        <v>603858878</v>
      </c>
      <c r="AW135" s="1008"/>
      <c r="AX135" s="1008"/>
      <c r="AY135" s="1008"/>
      <c r="AZ135" s="1008">
        <f>+'[17]SEPTIEMBRE 2015'!$M$38</f>
        <v>586355588</v>
      </c>
      <c r="BA135" s="1008">
        <f>+'[16]AGOSTO 2015'!$N$33</f>
        <v>17503290</v>
      </c>
      <c r="BB135" s="1008"/>
      <c r="BC135" s="1008"/>
      <c r="BD135" s="1008"/>
      <c r="BE135" s="1008"/>
      <c r="BF135" s="1008"/>
      <c r="BG135" s="1008"/>
      <c r="BH135" s="1008"/>
      <c r="BI135" s="1008"/>
      <c r="BJ135" s="1008"/>
      <c r="BK135" s="1008"/>
      <c r="BL135" s="1008"/>
      <c r="BM135" s="1008"/>
      <c r="BN135" s="1008"/>
      <c r="BO135" s="1008"/>
      <c r="BP135" s="1008"/>
      <c r="BQ135" s="1011">
        <f t="shared" si="105"/>
        <v>4.1361853701638029E-3</v>
      </c>
      <c r="BR135" s="1008">
        <f t="shared" si="147"/>
        <v>2508046</v>
      </c>
      <c r="BS135" s="1008">
        <f t="shared" si="148"/>
        <v>0</v>
      </c>
      <c r="BT135" s="1008">
        <f t="shared" si="149"/>
        <v>0</v>
      </c>
      <c r="BU135" s="1008"/>
      <c r="BV135" s="1008">
        <f t="shared" si="150"/>
        <v>2</v>
      </c>
      <c r="BW135" s="1008">
        <f t="shared" si="150"/>
        <v>2508044</v>
      </c>
      <c r="BX135" s="1008">
        <f t="shared" si="151"/>
        <v>0</v>
      </c>
      <c r="BY135" s="1008">
        <f t="shared" si="151"/>
        <v>0</v>
      </c>
      <c r="BZ135" s="1008"/>
      <c r="CA135" s="1008">
        <f t="shared" si="152"/>
        <v>0</v>
      </c>
      <c r="CB135" s="1008">
        <f t="shared" si="152"/>
        <v>0</v>
      </c>
      <c r="CC135" s="1008">
        <f t="shared" si="152"/>
        <v>0</v>
      </c>
      <c r="CD135" s="1008">
        <f t="shared" si="152"/>
        <v>0</v>
      </c>
      <c r="CE135" s="1008">
        <f t="shared" si="152"/>
        <v>0</v>
      </c>
      <c r="CF135" s="1008">
        <f t="shared" si="152"/>
        <v>0</v>
      </c>
      <c r="CG135" s="1008">
        <f t="shared" si="152"/>
        <v>0</v>
      </c>
      <c r="CH135" s="1008">
        <f t="shared" si="152"/>
        <v>0</v>
      </c>
      <c r="CI135" s="1008">
        <f t="shared" si="152"/>
        <v>0</v>
      </c>
      <c r="CJ135" s="1008"/>
      <c r="CK135" s="1008"/>
      <c r="CL135" s="1008">
        <f t="shared" si="153"/>
        <v>0</v>
      </c>
      <c r="CM135" s="1011">
        <f t="shared" si="113"/>
        <v>0.98769590539209551</v>
      </c>
      <c r="CN135" s="1008">
        <f t="shared" si="154"/>
        <v>598906128</v>
      </c>
      <c r="CO135" s="1008"/>
      <c r="CP135" s="1008"/>
      <c r="CQ135" s="1008"/>
      <c r="CR135" s="1008">
        <f>+'[16]AGOSTO 2015'!$H$34+'[16]AGOSTO 2015'!$G$43</f>
        <v>586355588</v>
      </c>
      <c r="CS135" s="1008">
        <f>+'[16]AGOSTO 2015'!$H$45+'[16]AGOSTO 2015'!$H$47+'[16]AGOSTO 2015'!$H$50</f>
        <v>12550540</v>
      </c>
      <c r="CT135" s="1008"/>
      <c r="CU135" s="1008"/>
      <c r="CV135" s="1008"/>
      <c r="CW135" s="1008"/>
      <c r="CX135" s="1008"/>
      <c r="CY135" s="1008"/>
      <c r="CZ135" s="1008"/>
      <c r="DA135" s="1008"/>
      <c r="DB135" s="1008"/>
      <c r="DC135" s="1008"/>
      <c r="DD135" s="1008"/>
      <c r="DE135" s="1008"/>
      <c r="DF135" s="1008"/>
      <c r="DG135" s="1008"/>
      <c r="DH135" s="1008"/>
      <c r="DI135" s="1011">
        <f t="shared" si="115"/>
        <v>1.2304094607904492E-2</v>
      </c>
      <c r="DJ135" s="1008">
        <f t="shared" si="155"/>
        <v>7460796</v>
      </c>
      <c r="DK135" s="1008"/>
      <c r="DL135" s="1008"/>
      <c r="DM135" s="1008"/>
      <c r="DN135" s="1008">
        <f t="shared" si="156"/>
        <v>2</v>
      </c>
      <c r="DO135" s="1008">
        <f t="shared" si="156"/>
        <v>7460794</v>
      </c>
      <c r="DP135" s="1008">
        <f t="shared" si="156"/>
        <v>0</v>
      </c>
      <c r="DQ135" s="1008">
        <f t="shared" si="156"/>
        <v>0</v>
      </c>
      <c r="DR135" s="1008"/>
      <c r="DS135" s="1008">
        <f t="shared" si="157"/>
        <v>0</v>
      </c>
      <c r="DT135" s="1008">
        <f t="shared" si="157"/>
        <v>0</v>
      </c>
      <c r="DU135" s="1008"/>
      <c r="DV135" s="1008">
        <f t="shared" si="158"/>
        <v>0</v>
      </c>
      <c r="DW135" s="1008">
        <f t="shared" si="158"/>
        <v>0</v>
      </c>
      <c r="DX135" s="1008">
        <f t="shared" si="158"/>
        <v>0</v>
      </c>
      <c r="DY135" s="1008">
        <f t="shared" si="159"/>
        <v>0</v>
      </c>
      <c r="DZ135" s="1008">
        <f t="shared" si="159"/>
        <v>0</v>
      </c>
      <c r="EA135" s="1008">
        <f t="shared" si="159"/>
        <v>0</v>
      </c>
      <c r="EB135" s="1008">
        <f t="shared" si="159"/>
        <v>0</v>
      </c>
      <c r="EC135" s="1008"/>
      <c r="ED135" s="1008">
        <f t="shared" si="160"/>
        <v>0</v>
      </c>
    </row>
    <row r="136" spans="1:136" s="203" customFormat="1" ht="51" customHeight="1" x14ac:dyDescent="0.25">
      <c r="A136" s="1560"/>
      <c r="B136" s="989"/>
      <c r="C136" s="1081" t="s">
        <v>4489</v>
      </c>
      <c r="D136" s="1019" t="s">
        <v>4472</v>
      </c>
      <c r="E136" s="997">
        <v>111</v>
      </c>
      <c r="F136" s="1120" t="s">
        <v>4482</v>
      </c>
      <c r="G136" s="1400"/>
      <c r="H136" s="1061">
        <f t="shared" si="143"/>
        <v>0</v>
      </c>
      <c r="I136" s="1061">
        <f t="shared" si="144"/>
        <v>650000000</v>
      </c>
      <c r="J136" s="1120">
        <v>100</v>
      </c>
      <c r="K136" s="1115">
        <v>130</v>
      </c>
      <c r="L136" s="1115">
        <v>103</v>
      </c>
      <c r="M136" s="1075">
        <v>0</v>
      </c>
      <c r="N136" s="1075">
        <v>0</v>
      </c>
      <c r="O136" s="1075">
        <v>0</v>
      </c>
      <c r="P136" s="1075"/>
      <c r="Q136" s="1075"/>
      <c r="R136" s="1075"/>
      <c r="S136" s="1120"/>
      <c r="T136" s="1120"/>
      <c r="U136" s="1120"/>
      <c r="V136" s="1120"/>
      <c r="W136" s="1120"/>
      <c r="X136" s="1120"/>
      <c r="Y136" s="1067">
        <f t="shared" si="145"/>
        <v>650000000</v>
      </c>
      <c r="Z136" s="1067"/>
      <c r="AA136" s="1067"/>
      <c r="AB136" s="1067"/>
      <c r="AC136" s="1067">
        <f>290000000+70000000+290000000</f>
        <v>650000000</v>
      </c>
      <c r="AD136" s="1067"/>
      <c r="AE136" s="1067"/>
      <c r="AF136" s="1067"/>
      <c r="AG136" s="1067"/>
      <c r="AH136" s="1067"/>
      <c r="AI136" s="1067"/>
      <c r="AJ136" s="1067"/>
      <c r="AK136" s="1067"/>
      <c r="AL136" s="1067"/>
      <c r="AM136" s="1067"/>
      <c r="AN136" s="1067"/>
      <c r="AO136" s="1067"/>
      <c r="AP136" s="1067"/>
      <c r="AQ136" s="1067"/>
      <c r="AR136" s="1067"/>
      <c r="AS136" s="1067"/>
      <c r="AT136" s="1089"/>
      <c r="AU136" s="1082">
        <f t="shared" si="103"/>
        <v>0</v>
      </c>
      <c r="AV136" s="1067">
        <f t="shared" si="146"/>
        <v>0</v>
      </c>
      <c r="AW136" s="1067"/>
      <c r="AX136" s="1067"/>
      <c r="AY136" s="1067"/>
      <c r="AZ136" s="1067"/>
      <c r="BA136" s="1067"/>
      <c r="BB136" s="1067"/>
      <c r="BC136" s="1067"/>
      <c r="BD136" s="1067"/>
      <c r="BE136" s="1067"/>
      <c r="BF136" s="1067"/>
      <c r="BG136" s="1067"/>
      <c r="BH136" s="1067"/>
      <c r="BI136" s="1067"/>
      <c r="BJ136" s="1067"/>
      <c r="BK136" s="1067"/>
      <c r="BL136" s="1067"/>
      <c r="BM136" s="1067"/>
      <c r="BN136" s="1067"/>
      <c r="BO136" s="1067"/>
      <c r="BP136" s="1067"/>
      <c r="BQ136" s="1082">
        <f t="shared" si="105"/>
        <v>1</v>
      </c>
      <c r="BR136" s="1067">
        <f t="shared" si="147"/>
        <v>650000000</v>
      </c>
      <c r="BS136" s="1067">
        <f t="shared" si="148"/>
        <v>0</v>
      </c>
      <c r="BT136" s="1067">
        <f t="shared" si="149"/>
        <v>0</v>
      </c>
      <c r="BU136" s="1067"/>
      <c r="BV136" s="1067">
        <f t="shared" si="150"/>
        <v>650000000</v>
      </c>
      <c r="BW136" s="1067">
        <f t="shared" si="150"/>
        <v>0</v>
      </c>
      <c r="BX136" s="1067">
        <f t="shared" si="151"/>
        <v>0</v>
      </c>
      <c r="BY136" s="1067">
        <f t="shared" si="151"/>
        <v>0</v>
      </c>
      <c r="BZ136" s="1067"/>
      <c r="CA136" s="1067">
        <f t="shared" si="152"/>
        <v>0</v>
      </c>
      <c r="CB136" s="1067">
        <f t="shared" si="152"/>
        <v>0</v>
      </c>
      <c r="CC136" s="1067">
        <f t="shared" si="152"/>
        <v>0</v>
      </c>
      <c r="CD136" s="1067">
        <f t="shared" si="152"/>
        <v>0</v>
      </c>
      <c r="CE136" s="1067">
        <f t="shared" si="152"/>
        <v>0</v>
      </c>
      <c r="CF136" s="1067">
        <f t="shared" si="152"/>
        <v>0</v>
      </c>
      <c r="CG136" s="1067">
        <f t="shared" si="152"/>
        <v>0</v>
      </c>
      <c r="CH136" s="1067">
        <f t="shared" si="152"/>
        <v>0</v>
      </c>
      <c r="CI136" s="1067">
        <f t="shared" si="152"/>
        <v>0</v>
      </c>
      <c r="CJ136" s="1067"/>
      <c r="CK136" s="1067"/>
      <c r="CL136" s="1067">
        <f t="shared" si="153"/>
        <v>0</v>
      </c>
      <c r="CM136" s="1082">
        <f t="shared" si="113"/>
        <v>0</v>
      </c>
      <c r="CN136" s="1067">
        <f t="shared" si="154"/>
        <v>0</v>
      </c>
      <c r="CO136" s="1067"/>
      <c r="CP136" s="1067"/>
      <c r="CQ136" s="1067"/>
      <c r="CR136" s="1067"/>
      <c r="CS136" s="1067"/>
      <c r="CT136" s="1067"/>
      <c r="CU136" s="1067"/>
      <c r="CV136" s="1067"/>
      <c r="CW136" s="1067"/>
      <c r="CX136" s="1067"/>
      <c r="CY136" s="1067"/>
      <c r="CZ136" s="1067"/>
      <c r="DA136" s="1067"/>
      <c r="DB136" s="1067"/>
      <c r="DC136" s="1067"/>
      <c r="DD136" s="1067"/>
      <c r="DE136" s="1067"/>
      <c r="DF136" s="1067"/>
      <c r="DG136" s="1067"/>
      <c r="DH136" s="1067"/>
      <c r="DI136" s="1082">
        <f t="shared" si="115"/>
        <v>1</v>
      </c>
      <c r="DJ136" s="1067">
        <f t="shared" si="155"/>
        <v>650000000</v>
      </c>
      <c r="DK136" s="1067"/>
      <c r="DL136" s="1067"/>
      <c r="DM136" s="1067"/>
      <c r="DN136" s="1067">
        <f t="shared" si="156"/>
        <v>650000000</v>
      </c>
      <c r="DO136" s="1067">
        <f t="shared" si="156"/>
        <v>0</v>
      </c>
      <c r="DP136" s="1067">
        <f t="shared" si="156"/>
        <v>0</v>
      </c>
      <c r="DQ136" s="1067">
        <f t="shared" si="156"/>
        <v>0</v>
      </c>
      <c r="DR136" s="1067"/>
      <c r="DS136" s="1067">
        <f t="shared" si="157"/>
        <v>0</v>
      </c>
      <c r="DT136" s="1067">
        <f t="shared" si="157"/>
        <v>0</v>
      </c>
      <c r="DU136" s="1067"/>
      <c r="DV136" s="1067">
        <f t="shared" si="158"/>
        <v>0</v>
      </c>
      <c r="DW136" s="1067">
        <f t="shared" si="158"/>
        <v>0</v>
      </c>
      <c r="DX136" s="1067">
        <f t="shared" si="158"/>
        <v>0</v>
      </c>
      <c r="DY136" s="1067">
        <f t="shared" si="159"/>
        <v>0</v>
      </c>
      <c r="DZ136" s="1067">
        <f t="shared" si="159"/>
        <v>0</v>
      </c>
      <c r="EA136" s="1067">
        <f t="shared" si="159"/>
        <v>0</v>
      </c>
      <c r="EB136" s="1067">
        <f t="shared" si="159"/>
        <v>0</v>
      </c>
      <c r="EC136" s="1067"/>
      <c r="ED136" s="1067">
        <f t="shared" si="160"/>
        <v>0</v>
      </c>
    </row>
    <row r="137" spans="1:136" ht="45.75" customHeight="1" x14ac:dyDescent="0.25">
      <c r="A137" s="1560"/>
      <c r="B137" s="989"/>
      <c r="C137" s="852" t="s">
        <v>4490</v>
      </c>
      <c r="D137" s="1019" t="s">
        <v>4473</v>
      </c>
      <c r="E137" s="995">
        <v>111</v>
      </c>
      <c r="F137" s="1120" t="s">
        <v>4482</v>
      </c>
      <c r="G137" s="1400"/>
      <c r="H137" s="1061">
        <f t="shared" si="143"/>
        <v>0</v>
      </c>
      <c r="I137" s="1061">
        <f t="shared" si="144"/>
        <v>938075763</v>
      </c>
      <c r="J137" s="1120">
        <v>1273</v>
      </c>
      <c r="K137" s="1115">
        <v>1832</v>
      </c>
      <c r="L137" s="1115">
        <v>1332</v>
      </c>
      <c r="M137" s="1115">
        <v>0</v>
      </c>
      <c r="N137" s="1115">
        <v>0</v>
      </c>
      <c r="O137" s="1115">
        <v>0</v>
      </c>
      <c r="P137" s="1115">
        <v>0</v>
      </c>
      <c r="Q137" s="1115">
        <v>0</v>
      </c>
      <c r="R137" s="1115">
        <v>0</v>
      </c>
      <c r="S137" s="1120"/>
      <c r="T137" s="1120"/>
      <c r="U137" s="1120"/>
      <c r="V137" s="1120"/>
      <c r="W137" s="1120"/>
      <c r="X137" s="1120"/>
      <c r="Y137" s="1008">
        <f t="shared" si="145"/>
        <v>938075763</v>
      </c>
      <c r="Z137" s="1008"/>
      <c r="AA137" s="1008"/>
      <c r="AB137" s="1008"/>
      <c r="AC137" s="1008">
        <f>699600000+99000000+80000000</f>
        <v>878600000</v>
      </c>
      <c r="AD137" s="1008"/>
      <c r="AE137" s="1008"/>
      <c r="AF137" s="1008"/>
      <c r="AG137" s="1008"/>
      <c r="AH137" s="1008"/>
      <c r="AI137" s="1008">
        <v>1940856</v>
      </c>
      <c r="AJ137" s="1008">
        <v>3438802</v>
      </c>
      <c r="AK137" s="1008">
        <v>54096105</v>
      </c>
      <c r="AL137" s="1008"/>
      <c r="AM137" s="1008"/>
      <c r="AN137" s="1008"/>
      <c r="AO137" s="1008"/>
      <c r="AP137" s="1008"/>
      <c r="AQ137" s="1008"/>
      <c r="AR137" s="1008"/>
      <c r="AS137" s="1008"/>
      <c r="AT137" s="984"/>
      <c r="AU137" s="1011">
        <f t="shared" si="103"/>
        <v>0.95577229085706583</v>
      </c>
      <c r="AV137" s="1008">
        <f t="shared" si="146"/>
        <v>896586821</v>
      </c>
      <c r="AW137" s="1008"/>
      <c r="AX137" s="1008"/>
      <c r="AY137" s="1008"/>
      <c r="AZ137" s="1008">
        <f>+'[18]OCTUBRE 2015'!$M$65</f>
        <v>878600000</v>
      </c>
      <c r="BA137" s="1008"/>
      <c r="BB137" s="1008"/>
      <c r="BC137" s="1008"/>
      <c r="BD137" s="1008"/>
      <c r="BE137" s="1008"/>
      <c r="BF137" s="1008"/>
      <c r="BG137" s="1008"/>
      <c r="BH137" s="1008">
        <f>+'[18]OCTUBRE 2015'!$U$65</f>
        <v>17986821</v>
      </c>
      <c r="BI137" s="1008"/>
      <c r="BJ137" s="1008"/>
      <c r="BK137" s="1008"/>
      <c r="BL137" s="1008"/>
      <c r="BM137" s="1008"/>
      <c r="BN137" s="1008"/>
      <c r="BO137" s="1008"/>
      <c r="BP137" s="1008"/>
      <c r="BQ137" s="1011">
        <f t="shared" si="105"/>
        <v>4.4227709142934168E-2</v>
      </c>
      <c r="BR137" s="1008">
        <f t="shared" si="147"/>
        <v>41488942</v>
      </c>
      <c r="BS137" s="1008">
        <f t="shared" si="148"/>
        <v>0</v>
      </c>
      <c r="BT137" s="1008">
        <f t="shared" si="149"/>
        <v>0</v>
      </c>
      <c r="BU137" s="1008"/>
      <c r="BV137" s="1008">
        <f t="shared" si="150"/>
        <v>0</v>
      </c>
      <c r="BW137" s="1008">
        <f t="shared" si="150"/>
        <v>0</v>
      </c>
      <c r="BX137" s="1008">
        <f t="shared" si="151"/>
        <v>0</v>
      </c>
      <c r="BY137" s="1008">
        <f t="shared" si="151"/>
        <v>0</v>
      </c>
      <c r="BZ137" s="1008"/>
      <c r="CA137" s="1008">
        <f t="shared" si="152"/>
        <v>0</v>
      </c>
      <c r="CB137" s="1008">
        <f t="shared" si="152"/>
        <v>1940856</v>
      </c>
      <c r="CC137" s="1008">
        <f t="shared" si="152"/>
        <v>3438802</v>
      </c>
      <c r="CD137" s="1008">
        <f t="shared" si="152"/>
        <v>36109284</v>
      </c>
      <c r="CE137" s="1008">
        <f t="shared" si="152"/>
        <v>0</v>
      </c>
      <c r="CF137" s="1008">
        <f t="shared" si="152"/>
        <v>0</v>
      </c>
      <c r="CG137" s="1008">
        <f t="shared" si="152"/>
        <v>0</v>
      </c>
      <c r="CH137" s="1008">
        <f t="shared" si="152"/>
        <v>0</v>
      </c>
      <c r="CI137" s="1008">
        <f t="shared" si="152"/>
        <v>0</v>
      </c>
      <c r="CJ137" s="1008">
        <f>+AQ137-BN137</f>
        <v>0</v>
      </c>
      <c r="CK137" s="1008">
        <f>+AR137-BO137</f>
        <v>0</v>
      </c>
      <c r="CL137" s="1008">
        <f t="shared" si="153"/>
        <v>0</v>
      </c>
      <c r="CM137" s="1011">
        <f t="shared" si="113"/>
        <v>0</v>
      </c>
      <c r="CN137" s="1008">
        <f t="shared" si="154"/>
        <v>0</v>
      </c>
      <c r="CO137" s="1008"/>
      <c r="CP137" s="1008"/>
      <c r="CQ137" s="1008"/>
      <c r="CR137" s="1008"/>
      <c r="CS137" s="1008"/>
      <c r="CT137" s="1008"/>
      <c r="CU137" s="1008"/>
      <c r="CV137" s="1008"/>
      <c r="CW137" s="1008"/>
      <c r="CX137" s="1008"/>
      <c r="CY137" s="1008"/>
      <c r="CZ137" s="1008"/>
      <c r="DA137" s="1008"/>
      <c r="DB137" s="1008"/>
      <c r="DC137" s="1008"/>
      <c r="DD137" s="1008"/>
      <c r="DE137" s="1008"/>
      <c r="DF137" s="1008"/>
      <c r="DG137" s="1008"/>
      <c r="DH137" s="1008"/>
      <c r="DI137" s="1011">
        <f t="shared" si="115"/>
        <v>1</v>
      </c>
      <c r="DJ137" s="1008">
        <f t="shared" si="155"/>
        <v>938075763</v>
      </c>
      <c r="DK137" s="1008"/>
      <c r="DL137" s="1008"/>
      <c r="DM137" s="1008"/>
      <c r="DN137" s="1008">
        <f t="shared" si="156"/>
        <v>878600000</v>
      </c>
      <c r="DO137" s="1008">
        <f t="shared" si="156"/>
        <v>0</v>
      </c>
      <c r="DP137" s="1008">
        <f t="shared" si="156"/>
        <v>0</v>
      </c>
      <c r="DQ137" s="1008">
        <f t="shared" si="156"/>
        <v>0</v>
      </c>
      <c r="DR137" s="1008"/>
      <c r="DS137" s="1008">
        <f t="shared" si="157"/>
        <v>0</v>
      </c>
      <c r="DT137" s="1008">
        <f t="shared" si="157"/>
        <v>1940856</v>
      </c>
      <c r="DU137" s="1008">
        <f>+AJ137-CY137</f>
        <v>3438802</v>
      </c>
      <c r="DV137" s="1008">
        <f t="shared" si="158"/>
        <v>54096105</v>
      </c>
      <c r="DW137" s="1008">
        <f t="shared" si="158"/>
        <v>0</v>
      </c>
      <c r="DX137" s="1008">
        <f t="shared" si="158"/>
        <v>0</v>
      </c>
      <c r="DY137" s="1008">
        <f t="shared" si="159"/>
        <v>0</v>
      </c>
      <c r="DZ137" s="1008">
        <f t="shared" si="159"/>
        <v>0</v>
      </c>
      <c r="EA137" s="1008">
        <f t="shared" si="159"/>
        <v>0</v>
      </c>
      <c r="EB137" s="1008">
        <f t="shared" si="159"/>
        <v>0</v>
      </c>
      <c r="EC137" s="1008"/>
      <c r="ED137" s="1008">
        <f t="shared" si="160"/>
        <v>0</v>
      </c>
    </row>
    <row r="138" spans="1:136" ht="33.75" customHeight="1" x14ac:dyDescent="0.25">
      <c r="A138" s="1560"/>
      <c r="B138" s="989"/>
      <c r="C138" s="852" t="s">
        <v>4491</v>
      </c>
      <c r="D138" s="1019" t="s">
        <v>4474</v>
      </c>
      <c r="E138" s="995">
        <v>111</v>
      </c>
      <c r="F138" s="1120" t="s">
        <v>4482</v>
      </c>
      <c r="G138" s="1400"/>
      <c r="H138" s="1061">
        <f t="shared" si="143"/>
        <v>0</v>
      </c>
      <c r="I138" s="1061">
        <f t="shared" si="144"/>
        <v>233200000</v>
      </c>
      <c r="J138" s="1120">
        <v>60</v>
      </c>
      <c r="K138" s="1115">
        <v>80</v>
      </c>
      <c r="L138" s="1115">
        <v>62</v>
      </c>
      <c r="M138" s="1115">
        <v>0</v>
      </c>
      <c r="N138" s="1115">
        <v>0</v>
      </c>
      <c r="O138" s="1115">
        <v>0</v>
      </c>
      <c r="P138" s="1115">
        <v>0</v>
      </c>
      <c r="Q138" s="1115">
        <v>0</v>
      </c>
      <c r="R138" s="1115">
        <v>0</v>
      </c>
      <c r="S138" s="1120"/>
      <c r="T138" s="1120"/>
      <c r="U138" s="1120"/>
      <c r="V138" s="1120"/>
      <c r="W138" s="1120"/>
      <c r="X138" s="1120"/>
      <c r="Y138" s="1008">
        <f t="shared" si="145"/>
        <v>233200000</v>
      </c>
      <c r="Z138" s="1008"/>
      <c r="AA138" s="1008"/>
      <c r="AB138" s="1008"/>
      <c r="AC138" s="1008">
        <v>233200000</v>
      </c>
      <c r="AD138" s="1008"/>
      <c r="AE138" s="1008"/>
      <c r="AF138" s="1008"/>
      <c r="AG138" s="1008"/>
      <c r="AH138" s="1008"/>
      <c r="AI138" s="1008"/>
      <c r="AJ138" s="1008"/>
      <c r="AK138" s="1008"/>
      <c r="AL138" s="1008"/>
      <c r="AM138" s="1008"/>
      <c r="AN138" s="1008"/>
      <c r="AO138" s="1008"/>
      <c r="AP138" s="1008"/>
      <c r="AQ138" s="1008"/>
      <c r="AR138" s="1008"/>
      <c r="AS138" s="1008"/>
      <c r="AT138" s="984"/>
      <c r="AU138" s="1011">
        <f t="shared" si="103"/>
        <v>0.99745449828473409</v>
      </c>
      <c r="AV138" s="1008">
        <f t="shared" si="146"/>
        <v>232606389</v>
      </c>
      <c r="AW138" s="1008"/>
      <c r="AX138" s="1008"/>
      <c r="AY138" s="1008"/>
      <c r="AZ138" s="1008">
        <f>+'[18]OCTUBRE 2015'!$M$73</f>
        <v>232606389</v>
      </c>
      <c r="BA138" s="1008"/>
      <c r="BB138" s="1008"/>
      <c r="BC138" s="1008"/>
      <c r="BD138" s="1008"/>
      <c r="BE138" s="1008"/>
      <c r="BF138" s="1008"/>
      <c r="BG138" s="1008"/>
      <c r="BH138" s="1008"/>
      <c r="BI138" s="1008"/>
      <c r="BJ138" s="1008"/>
      <c r="BK138" s="1008"/>
      <c r="BL138" s="1008"/>
      <c r="BM138" s="1008"/>
      <c r="BN138" s="1008"/>
      <c r="BO138" s="1008"/>
      <c r="BP138" s="1008"/>
      <c r="BQ138" s="1011">
        <f t="shared" si="105"/>
        <v>2.5455017152659076E-3</v>
      </c>
      <c r="BR138" s="1008">
        <f t="shared" si="147"/>
        <v>593611</v>
      </c>
      <c r="BS138" s="1008">
        <f t="shared" si="148"/>
        <v>0</v>
      </c>
      <c r="BT138" s="1008">
        <f t="shared" si="149"/>
        <v>0</v>
      </c>
      <c r="BU138" s="1008"/>
      <c r="BV138" s="1008">
        <f t="shared" si="150"/>
        <v>593611</v>
      </c>
      <c r="BW138" s="1008">
        <f t="shared" si="150"/>
        <v>0</v>
      </c>
      <c r="BX138" s="1008">
        <f t="shared" si="151"/>
        <v>0</v>
      </c>
      <c r="BY138" s="1008">
        <f t="shared" si="151"/>
        <v>0</v>
      </c>
      <c r="BZ138" s="1008"/>
      <c r="CA138" s="1008">
        <f t="shared" si="152"/>
        <v>0</v>
      </c>
      <c r="CB138" s="1008">
        <f t="shared" si="152"/>
        <v>0</v>
      </c>
      <c r="CC138" s="1008">
        <f t="shared" si="152"/>
        <v>0</v>
      </c>
      <c r="CD138" s="1008">
        <f t="shared" si="152"/>
        <v>0</v>
      </c>
      <c r="CE138" s="1008">
        <f t="shared" si="152"/>
        <v>0</v>
      </c>
      <c r="CF138" s="1008">
        <f t="shared" si="152"/>
        <v>0</v>
      </c>
      <c r="CG138" s="1008">
        <f t="shared" si="152"/>
        <v>0</v>
      </c>
      <c r="CH138" s="1008">
        <f t="shared" si="152"/>
        <v>0</v>
      </c>
      <c r="CI138" s="1008">
        <f t="shared" si="152"/>
        <v>0</v>
      </c>
      <c r="CJ138" s="1008"/>
      <c r="CK138" s="1008">
        <f t="shared" ref="CK138:CK150" si="161">+AR138-BO138</f>
        <v>0</v>
      </c>
      <c r="CL138" s="1008">
        <f t="shared" si="153"/>
        <v>0</v>
      </c>
      <c r="CM138" s="1011">
        <f t="shared" si="113"/>
        <v>0</v>
      </c>
      <c r="CN138" s="1008">
        <f t="shared" si="154"/>
        <v>0</v>
      </c>
      <c r="CO138" s="1008"/>
      <c r="CP138" s="1008"/>
      <c r="CQ138" s="1008"/>
      <c r="CR138" s="1008"/>
      <c r="CS138" s="1008"/>
      <c r="CT138" s="1008"/>
      <c r="CU138" s="1008"/>
      <c r="CV138" s="1008"/>
      <c r="CW138" s="1008"/>
      <c r="CX138" s="1008"/>
      <c r="CY138" s="1008"/>
      <c r="CZ138" s="1008"/>
      <c r="DA138" s="1008"/>
      <c r="DB138" s="1008"/>
      <c r="DC138" s="1008"/>
      <c r="DD138" s="1008"/>
      <c r="DE138" s="1008"/>
      <c r="DF138" s="1008"/>
      <c r="DG138" s="1008"/>
      <c r="DH138" s="1008"/>
      <c r="DI138" s="1011">
        <f t="shared" si="115"/>
        <v>1</v>
      </c>
      <c r="DJ138" s="1008">
        <f t="shared" si="155"/>
        <v>233200000</v>
      </c>
      <c r="DK138" s="1008"/>
      <c r="DL138" s="1008"/>
      <c r="DM138" s="1008"/>
      <c r="DN138" s="1008">
        <f t="shared" si="156"/>
        <v>233200000</v>
      </c>
      <c r="DO138" s="1008">
        <f t="shared" si="156"/>
        <v>0</v>
      </c>
      <c r="DP138" s="1008">
        <f t="shared" si="156"/>
        <v>0</v>
      </c>
      <c r="DQ138" s="1008">
        <f t="shared" si="156"/>
        <v>0</v>
      </c>
      <c r="DR138" s="1008"/>
      <c r="DS138" s="1008">
        <f t="shared" si="157"/>
        <v>0</v>
      </c>
      <c r="DT138" s="1008">
        <f t="shared" si="157"/>
        <v>0</v>
      </c>
      <c r="DU138" s="1008">
        <f>+AJ138-CY138</f>
        <v>0</v>
      </c>
      <c r="DV138" s="1008">
        <f t="shared" si="158"/>
        <v>0</v>
      </c>
      <c r="DW138" s="1008">
        <f t="shared" si="158"/>
        <v>0</v>
      </c>
      <c r="DX138" s="1008">
        <f t="shared" si="158"/>
        <v>0</v>
      </c>
      <c r="DY138" s="1008">
        <f t="shared" si="159"/>
        <v>0</v>
      </c>
      <c r="DZ138" s="1008">
        <f t="shared" si="159"/>
        <v>0</v>
      </c>
      <c r="EA138" s="1008">
        <f t="shared" si="159"/>
        <v>0</v>
      </c>
      <c r="EB138" s="1008">
        <f t="shared" si="159"/>
        <v>0</v>
      </c>
      <c r="EC138" s="1008"/>
      <c r="ED138" s="1008">
        <f t="shared" si="160"/>
        <v>0</v>
      </c>
    </row>
    <row r="139" spans="1:136" ht="52.5" customHeight="1" x14ac:dyDescent="0.25">
      <c r="A139" s="1560"/>
      <c r="B139" s="989"/>
      <c r="C139" s="852" t="s">
        <v>4492</v>
      </c>
      <c r="D139" s="1019" t="s">
        <v>4475</v>
      </c>
      <c r="E139" s="995">
        <v>111</v>
      </c>
      <c r="F139" s="1120" t="s">
        <v>4482</v>
      </c>
      <c r="G139" s="1400"/>
      <c r="H139" s="1061">
        <f t="shared" si="143"/>
        <v>0</v>
      </c>
      <c r="I139" s="1061">
        <f t="shared" si="144"/>
        <v>300000000</v>
      </c>
      <c r="J139" s="1270">
        <v>206</v>
      </c>
      <c r="K139" s="1305">
        <v>448</v>
      </c>
      <c r="L139" s="1305">
        <v>230</v>
      </c>
      <c r="M139" s="1115">
        <v>0</v>
      </c>
      <c r="N139" s="1115">
        <v>0</v>
      </c>
      <c r="O139" s="1115">
        <v>0</v>
      </c>
      <c r="P139" s="1115">
        <v>0</v>
      </c>
      <c r="Q139" s="1115">
        <v>0</v>
      </c>
      <c r="R139" s="1115">
        <v>0</v>
      </c>
      <c r="S139" s="1120"/>
      <c r="T139" s="1120"/>
      <c r="U139" s="1120"/>
      <c r="V139" s="1120"/>
      <c r="W139" s="1120"/>
      <c r="X139" s="1120"/>
      <c r="Y139" s="1008">
        <f t="shared" si="145"/>
        <v>300000000</v>
      </c>
      <c r="Z139" s="1008"/>
      <c r="AA139" s="1008"/>
      <c r="AB139" s="1008"/>
      <c r="AC139" s="1008">
        <f>114715796+100000000-12000000</f>
        <v>202715796</v>
      </c>
      <c r="AD139" s="1008"/>
      <c r="AE139" s="1008"/>
      <c r="AF139" s="1008"/>
      <c r="AG139" s="1008"/>
      <c r="AH139" s="1008"/>
      <c r="AI139" s="1008"/>
      <c r="AJ139" s="1008"/>
      <c r="AK139" s="1008">
        <v>97284204</v>
      </c>
      <c r="AL139" s="1008"/>
      <c r="AM139" s="1008"/>
      <c r="AN139" s="1008"/>
      <c r="AO139" s="1008"/>
      <c r="AP139" s="1008"/>
      <c r="AQ139" s="1008"/>
      <c r="AR139" s="1008"/>
      <c r="AS139" s="1008"/>
      <c r="AT139" s="984"/>
      <c r="AU139" s="1011">
        <f t="shared" si="103"/>
        <v>0.97304108333333328</v>
      </c>
      <c r="AV139" s="1008">
        <f t="shared" si="146"/>
        <v>291912325</v>
      </c>
      <c r="AW139" s="1008"/>
      <c r="AX139" s="1008"/>
      <c r="AY139" s="1008"/>
      <c r="AZ139" s="1008">
        <f>+'[18]OCTUBRE 2015'!$M$79</f>
        <v>194628121</v>
      </c>
      <c r="BA139" s="1008"/>
      <c r="BB139" s="1008"/>
      <c r="BC139" s="1008"/>
      <c r="BD139" s="1008"/>
      <c r="BE139" s="1008"/>
      <c r="BF139" s="1008"/>
      <c r="BG139" s="1008"/>
      <c r="BH139" s="1008">
        <f>+'[18]OCTUBRE 2015'!$U$79</f>
        <v>97284204</v>
      </c>
      <c r="BI139" s="1008"/>
      <c r="BJ139" s="1008"/>
      <c r="BK139" s="1008"/>
      <c r="BL139" s="1008"/>
      <c r="BM139" s="1008"/>
      <c r="BN139" s="1008"/>
      <c r="BO139" s="1008"/>
      <c r="BP139" s="1008"/>
      <c r="BQ139" s="1011">
        <f t="shared" si="105"/>
        <v>2.6958916666666721E-2</v>
      </c>
      <c r="BR139" s="1008">
        <f t="shared" si="147"/>
        <v>8087675</v>
      </c>
      <c r="BS139" s="1008">
        <f t="shared" si="148"/>
        <v>0</v>
      </c>
      <c r="BT139" s="1008">
        <f t="shared" si="149"/>
        <v>0</v>
      </c>
      <c r="BU139" s="1008"/>
      <c r="BV139" s="1008">
        <f t="shared" si="150"/>
        <v>8087675</v>
      </c>
      <c r="BW139" s="1008">
        <f t="shared" si="150"/>
        <v>0</v>
      </c>
      <c r="BX139" s="1008">
        <f t="shared" si="151"/>
        <v>0</v>
      </c>
      <c r="BY139" s="1008">
        <f t="shared" si="151"/>
        <v>0</v>
      </c>
      <c r="BZ139" s="1008"/>
      <c r="CA139" s="1008">
        <f t="shared" si="152"/>
        <v>0</v>
      </c>
      <c r="CB139" s="1008">
        <f t="shared" si="152"/>
        <v>0</v>
      </c>
      <c r="CC139" s="1008">
        <f t="shared" si="152"/>
        <v>0</v>
      </c>
      <c r="CD139" s="1008">
        <f t="shared" si="152"/>
        <v>0</v>
      </c>
      <c r="CE139" s="1008">
        <f t="shared" si="152"/>
        <v>0</v>
      </c>
      <c r="CF139" s="1008">
        <f t="shared" si="152"/>
        <v>0</v>
      </c>
      <c r="CG139" s="1008">
        <f t="shared" si="152"/>
        <v>0</v>
      </c>
      <c r="CH139" s="1008">
        <f t="shared" si="152"/>
        <v>0</v>
      </c>
      <c r="CI139" s="1008">
        <f t="shared" si="152"/>
        <v>0</v>
      </c>
      <c r="CJ139" s="1008"/>
      <c r="CK139" s="1008">
        <f t="shared" si="161"/>
        <v>0</v>
      </c>
      <c r="CL139" s="1008">
        <f t="shared" si="153"/>
        <v>0</v>
      </c>
      <c r="CM139" s="1011">
        <f t="shared" si="113"/>
        <v>0</v>
      </c>
      <c r="CN139" s="1008">
        <f t="shared" si="154"/>
        <v>0</v>
      </c>
      <c r="CO139" s="1008"/>
      <c r="CP139" s="1008"/>
      <c r="CQ139" s="1008"/>
      <c r="CR139" s="1008"/>
      <c r="CS139" s="1008"/>
      <c r="CT139" s="1008"/>
      <c r="CU139" s="1008"/>
      <c r="CV139" s="1008"/>
      <c r="CW139" s="1008"/>
      <c r="CX139" s="1008"/>
      <c r="CY139" s="1008"/>
      <c r="CZ139" s="1008"/>
      <c r="DA139" s="1008"/>
      <c r="DB139" s="1008"/>
      <c r="DC139" s="1008"/>
      <c r="DD139" s="1008"/>
      <c r="DE139" s="1008"/>
      <c r="DF139" s="1008"/>
      <c r="DG139" s="1008"/>
      <c r="DH139" s="1008"/>
      <c r="DI139" s="1011">
        <f t="shared" si="115"/>
        <v>1</v>
      </c>
      <c r="DJ139" s="1008">
        <f t="shared" si="155"/>
        <v>300000000</v>
      </c>
      <c r="DK139" s="1008"/>
      <c r="DL139" s="1008"/>
      <c r="DM139" s="1008"/>
      <c r="DN139" s="1008">
        <f t="shared" si="156"/>
        <v>202715796</v>
      </c>
      <c r="DO139" s="1008">
        <f t="shared" si="156"/>
        <v>0</v>
      </c>
      <c r="DP139" s="1008">
        <f t="shared" si="156"/>
        <v>0</v>
      </c>
      <c r="DQ139" s="1008">
        <f t="shared" si="156"/>
        <v>0</v>
      </c>
      <c r="DR139" s="1008"/>
      <c r="DS139" s="1008">
        <f t="shared" si="157"/>
        <v>0</v>
      </c>
      <c r="DT139" s="1008">
        <f t="shared" si="157"/>
        <v>0</v>
      </c>
      <c r="DU139" s="1008"/>
      <c r="DV139" s="1008">
        <f t="shared" si="158"/>
        <v>97284204</v>
      </c>
      <c r="DW139" s="1008">
        <f t="shared" si="158"/>
        <v>0</v>
      </c>
      <c r="DX139" s="1008">
        <f t="shared" si="158"/>
        <v>0</v>
      </c>
      <c r="DY139" s="1008">
        <f t="shared" si="159"/>
        <v>0</v>
      </c>
      <c r="DZ139" s="1008">
        <f t="shared" si="159"/>
        <v>0</v>
      </c>
      <c r="EA139" s="1008">
        <f t="shared" si="159"/>
        <v>0</v>
      </c>
      <c r="EB139" s="1008">
        <f t="shared" si="159"/>
        <v>0</v>
      </c>
      <c r="EC139" s="1008"/>
      <c r="ED139" s="1008">
        <f t="shared" si="160"/>
        <v>0</v>
      </c>
    </row>
    <row r="140" spans="1:136" ht="32.25" customHeight="1" x14ac:dyDescent="0.25">
      <c r="A140" s="1560"/>
      <c r="B140" s="989"/>
      <c r="C140" s="852" t="s">
        <v>4493</v>
      </c>
      <c r="D140" s="1019" t="s">
        <v>4476</v>
      </c>
      <c r="E140" s="995">
        <v>111</v>
      </c>
      <c r="F140" s="1120" t="s">
        <v>4482</v>
      </c>
      <c r="G140" s="1400"/>
      <c r="H140" s="1061">
        <f t="shared" si="143"/>
        <v>0</v>
      </c>
      <c r="I140" s="1061">
        <f t="shared" si="144"/>
        <v>35000000</v>
      </c>
      <c r="J140" s="1270"/>
      <c r="K140" s="1305"/>
      <c r="L140" s="1305"/>
      <c r="M140" s="1115">
        <v>0</v>
      </c>
      <c r="N140" s="1115">
        <v>0</v>
      </c>
      <c r="O140" s="1115">
        <v>0</v>
      </c>
      <c r="P140" s="1115">
        <v>0</v>
      </c>
      <c r="Q140" s="1115">
        <v>0</v>
      </c>
      <c r="R140" s="1115">
        <v>0</v>
      </c>
      <c r="S140" s="1120"/>
      <c r="T140" s="1120"/>
      <c r="U140" s="1120"/>
      <c r="V140" s="1120"/>
      <c r="W140" s="1120"/>
      <c r="X140" s="1120"/>
      <c r="Y140" s="1008">
        <f t="shared" si="145"/>
        <v>35000000</v>
      </c>
      <c r="Z140" s="1008"/>
      <c r="AA140" s="1008"/>
      <c r="AB140" s="1008"/>
      <c r="AC140" s="1008">
        <f>71000000-71000000</f>
        <v>0</v>
      </c>
      <c r="AD140" s="1008"/>
      <c r="AE140" s="1008"/>
      <c r="AF140" s="1008"/>
      <c r="AG140" s="1008"/>
      <c r="AH140" s="1008"/>
      <c r="AI140" s="1008"/>
      <c r="AJ140" s="1008"/>
      <c r="AK140" s="1008">
        <v>35000000</v>
      </c>
      <c r="AL140" s="1008"/>
      <c r="AM140" s="1008"/>
      <c r="AN140" s="1008"/>
      <c r="AO140" s="1008"/>
      <c r="AP140" s="1008"/>
      <c r="AQ140" s="1008"/>
      <c r="AR140" s="1008"/>
      <c r="AS140" s="1008"/>
      <c r="AT140" s="984"/>
      <c r="AU140" s="1011">
        <f t="shared" si="103"/>
        <v>0</v>
      </c>
      <c r="AV140" s="1008">
        <f t="shared" si="146"/>
        <v>0</v>
      </c>
      <c r="AW140" s="1008"/>
      <c r="AX140" s="1008"/>
      <c r="AY140" s="1008"/>
      <c r="AZ140" s="1008"/>
      <c r="BA140" s="1008"/>
      <c r="BB140" s="1008"/>
      <c r="BC140" s="1008"/>
      <c r="BD140" s="1008"/>
      <c r="BE140" s="1008"/>
      <c r="BF140" s="1008"/>
      <c r="BG140" s="1008"/>
      <c r="BH140" s="1008"/>
      <c r="BI140" s="1008"/>
      <c r="BJ140" s="1008"/>
      <c r="BK140" s="1008"/>
      <c r="BL140" s="1008"/>
      <c r="BM140" s="1008"/>
      <c r="BN140" s="1008"/>
      <c r="BO140" s="1008"/>
      <c r="BP140" s="1008"/>
      <c r="BQ140" s="1011">
        <f t="shared" si="105"/>
        <v>1</v>
      </c>
      <c r="BR140" s="1008">
        <f t="shared" si="147"/>
        <v>35000000</v>
      </c>
      <c r="BS140" s="1008">
        <f t="shared" si="148"/>
        <v>0</v>
      </c>
      <c r="BT140" s="1008">
        <f t="shared" si="149"/>
        <v>0</v>
      </c>
      <c r="BU140" s="1008"/>
      <c r="BV140" s="1008">
        <f t="shared" si="150"/>
        <v>0</v>
      </c>
      <c r="BW140" s="1008">
        <f t="shared" si="150"/>
        <v>0</v>
      </c>
      <c r="BX140" s="1008">
        <f t="shared" si="151"/>
        <v>0</v>
      </c>
      <c r="BY140" s="1008">
        <f t="shared" si="151"/>
        <v>0</v>
      </c>
      <c r="BZ140" s="1008"/>
      <c r="CA140" s="1008">
        <f t="shared" si="152"/>
        <v>0</v>
      </c>
      <c r="CB140" s="1008">
        <f t="shared" si="152"/>
        <v>0</v>
      </c>
      <c r="CC140" s="1008">
        <f t="shared" si="152"/>
        <v>0</v>
      </c>
      <c r="CD140" s="1008">
        <f t="shared" si="152"/>
        <v>35000000</v>
      </c>
      <c r="CE140" s="1008">
        <f t="shared" si="152"/>
        <v>0</v>
      </c>
      <c r="CF140" s="1008">
        <f t="shared" si="152"/>
        <v>0</v>
      </c>
      <c r="CG140" s="1008">
        <f t="shared" si="152"/>
        <v>0</v>
      </c>
      <c r="CH140" s="1008">
        <f t="shared" si="152"/>
        <v>0</v>
      </c>
      <c r="CI140" s="1008">
        <f t="shared" si="152"/>
        <v>0</v>
      </c>
      <c r="CJ140" s="1008"/>
      <c r="CK140" s="1008">
        <f t="shared" si="161"/>
        <v>0</v>
      </c>
      <c r="CL140" s="1008">
        <f t="shared" si="153"/>
        <v>0</v>
      </c>
      <c r="CM140" s="1011">
        <f t="shared" si="113"/>
        <v>0</v>
      </c>
      <c r="CN140" s="1008">
        <f t="shared" si="154"/>
        <v>0</v>
      </c>
      <c r="CO140" s="1008"/>
      <c r="CP140" s="1008"/>
      <c r="CQ140" s="1008"/>
      <c r="CR140" s="1008"/>
      <c r="CS140" s="1008"/>
      <c r="CT140" s="1008"/>
      <c r="CU140" s="1008"/>
      <c r="CV140" s="1008"/>
      <c r="CW140" s="1008"/>
      <c r="CX140" s="1008"/>
      <c r="CY140" s="1008"/>
      <c r="CZ140" s="1008"/>
      <c r="DA140" s="1008"/>
      <c r="DB140" s="1008"/>
      <c r="DC140" s="1008"/>
      <c r="DD140" s="1008"/>
      <c r="DE140" s="1008"/>
      <c r="DF140" s="1008"/>
      <c r="DG140" s="1008"/>
      <c r="DH140" s="1008"/>
      <c r="DI140" s="1011">
        <f t="shared" si="115"/>
        <v>1</v>
      </c>
      <c r="DJ140" s="1008">
        <f t="shared" si="155"/>
        <v>35000000</v>
      </c>
      <c r="DK140" s="1008"/>
      <c r="DL140" s="1008"/>
      <c r="DM140" s="1008"/>
      <c r="DN140" s="1008">
        <f t="shared" si="156"/>
        <v>0</v>
      </c>
      <c r="DO140" s="1008">
        <f t="shared" si="156"/>
        <v>0</v>
      </c>
      <c r="DP140" s="1008">
        <f t="shared" si="156"/>
        <v>0</v>
      </c>
      <c r="DQ140" s="1008">
        <f t="shared" si="156"/>
        <v>0</v>
      </c>
      <c r="DR140" s="1008"/>
      <c r="DS140" s="1008">
        <f t="shared" si="157"/>
        <v>0</v>
      </c>
      <c r="DT140" s="1008">
        <f t="shared" si="157"/>
        <v>0</v>
      </c>
      <c r="DU140" s="1008"/>
      <c r="DV140" s="1008">
        <f t="shared" si="158"/>
        <v>35000000</v>
      </c>
      <c r="DW140" s="1008">
        <f t="shared" si="158"/>
        <v>0</v>
      </c>
      <c r="DX140" s="1008">
        <f t="shared" si="158"/>
        <v>0</v>
      </c>
      <c r="DY140" s="1008">
        <f t="shared" si="159"/>
        <v>0</v>
      </c>
      <c r="DZ140" s="1008">
        <f t="shared" si="159"/>
        <v>0</v>
      </c>
      <c r="EA140" s="1008">
        <f t="shared" si="159"/>
        <v>0</v>
      </c>
      <c r="EB140" s="1008">
        <f t="shared" si="159"/>
        <v>0</v>
      </c>
      <c r="EC140" s="1008"/>
      <c r="ED140" s="1008">
        <f t="shared" si="160"/>
        <v>0</v>
      </c>
    </row>
    <row r="141" spans="1:136" s="203" customFormat="1" ht="28.5" customHeight="1" x14ac:dyDescent="0.25">
      <c r="A141" s="1560"/>
      <c r="B141" s="989"/>
      <c r="C141" s="1081" t="s">
        <v>4494</v>
      </c>
      <c r="D141" s="1019" t="s">
        <v>4477</v>
      </c>
      <c r="E141" s="997">
        <v>111</v>
      </c>
      <c r="F141" s="1120" t="s">
        <v>4482</v>
      </c>
      <c r="G141" s="1400"/>
      <c r="H141" s="1061">
        <f t="shared" si="143"/>
        <v>0</v>
      </c>
      <c r="I141" s="1061">
        <f t="shared" si="144"/>
        <v>0</v>
      </c>
      <c r="J141" s="1399">
        <v>320</v>
      </c>
      <c r="K141" s="1283">
        <v>948</v>
      </c>
      <c r="L141" s="1283">
        <v>390</v>
      </c>
      <c r="M141" s="1075">
        <v>0</v>
      </c>
      <c r="N141" s="1075">
        <v>0</v>
      </c>
      <c r="O141" s="1075">
        <v>0</v>
      </c>
      <c r="P141" s="1075"/>
      <c r="Q141" s="1075"/>
      <c r="R141" s="1075"/>
      <c r="S141" s="1120"/>
      <c r="T141" s="1120"/>
      <c r="U141" s="1120"/>
      <c r="V141" s="1120"/>
      <c r="W141" s="1120"/>
      <c r="X141" s="1120"/>
      <c r="Y141" s="1067">
        <f t="shared" si="145"/>
        <v>0</v>
      </c>
      <c r="Z141" s="1067"/>
      <c r="AA141" s="1067"/>
      <c r="AB141" s="1067"/>
      <c r="AC141" s="1067">
        <f>1804000000-636519551-639181389-128000000-400299060</f>
        <v>0</v>
      </c>
      <c r="AD141" s="1067"/>
      <c r="AE141" s="1067"/>
      <c r="AF141" s="1067"/>
      <c r="AG141" s="1067"/>
      <c r="AH141" s="1067"/>
      <c r="AI141" s="1067"/>
      <c r="AJ141" s="1067"/>
      <c r="AK141" s="1067"/>
      <c r="AL141" s="1067"/>
      <c r="AM141" s="1067"/>
      <c r="AN141" s="1067"/>
      <c r="AO141" s="1067"/>
      <c r="AP141" s="1067"/>
      <c r="AQ141" s="1067"/>
      <c r="AR141" s="1067"/>
      <c r="AS141" s="1067"/>
      <c r="AT141" s="1089"/>
      <c r="AU141" s="1082">
        <v>0</v>
      </c>
      <c r="AV141" s="1067">
        <f t="shared" si="146"/>
        <v>0</v>
      </c>
      <c r="AW141" s="1067"/>
      <c r="AX141" s="1067"/>
      <c r="AY141" s="1067"/>
      <c r="AZ141" s="1067"/>
      <c r="BA141" s="1067"/>
      <c r="BB141" s="1067"/>
      <c r="BC141" s="1067"/>
      <c r="BD141" s="1067"/>
      <c r="BE141" s="1067"/>
      <c r="BF141" s="1067"/>
      <c r="BG141" s="1067"/>
      <c r="BH141" s="1067"/>
      <c r="BI141" s="1067"/>
      <c r="BJ141" s="1067"/>
      <c r="BK141" s="1067"/>
      <c r="BL141" s="1067"/>
      <c r="BM141" s="1067"/>
      <c r="BN141" s="1067"/>
      <c r="BO141" s="1067"/>
      <c r="BP141" s="1067"/>
      <c r="BQ141" s="1082">
        <v>0</v>
      </c>
      <c r="BR141" s="1067">
        <f t="shared" si="147"/>
        <v>0</v>
      </c>
      <c r="BS141" s="1067">
        <f t="shared" si="148"/>
        <v>0</v>
      </c>
      <c r="BT141" s="1067">
        <f t="shared" si="149"/>
        <v>0</v>
      </c>
      <c r="BU141" s="1067"/>
      <c r="BV141" s="1067">
        <f t="shared" si="150"/>
        <v>0</v>
      </c>
      <c r="BW141" s="1067">
        <f t="shared" si="150"/>
        <v>0</v>
      </c>
      <c r="BX141" s="1067">
        <f t="shared" si="151"/>
        <v>0</v>
      </c>
      <c r="BY141" s="1067">
        <f t="shared" si="151"/>
        <v>0</v>
      </c>
      <c r="BZ141" s="1067"/>
      <c r="CA141" s="1067">
        <f t="shared" si="152"/>
        <v>0</v>
      </c>
      <c r="CB141" s="1067">
        <f t="shared" si="152"/>
        <v>0</v>
      </c>
      <c r="CC141" s="1067">
        <f t="shared" si="152"/>
        <v>0</v>
      </c>
      <c r="CD141" s="1067">
        <f t="shared" si="152"/>
        <v>0</v>
      </c>
      <c r="CE141" s="1067">
        <f t="shared" si="152"/>
        <v>0</v>
      </c>
      <c r="CF141" s="1067">
        <f t="shared" si="152"/>
        <v>0</v>
      </c>
      <c r="CG141" s="1067">
        <f t="shared" si="152"/>
        <v>0</v>
      </c>
      <c r="CH141" s="1067">
        <f t="shared" si="152"/>
        <v>0</v>
      </c>
      <c r="CI141" s="1067">
        <f t="shared" si="152"/>
        <v>0</v>
      </c>
      <c r="CJ141" s="1067"/>
      <c r="CK141" s="1067">
        <f t="shared" si="161"/>
        <v>0</v>
      </c>
      <c r="CL141" s="1067">
        <f t="shared" si="153"/>
        <v>0</v>
      </c>
      <c r="CM141" s="1082">
        <v>0</v>
      </c>
      <c r="CN141" s="1067">
        <f t="shared" si="154"/>
        <v>0</v>
      </c>
      <c r="CO141" s="1067"/>
      <c r="CP141" s="1067"/>
      <c r="CQ141" s="1067"/>
      <c r="CR141" s="1067"/>
      <c r="CS141" s="1067"/>
      <c r="CT141" s="1067"/>
      <c r="CU141" s="1067"/>
      <c r="CV141" s="1067"/>
      <c r="CW141" s="1067"/>
      <c r="CX141" s="1067"/>
      <c r="CY141" s="1067"/>
      <c r="CZ141" s="1067"/>
      <c r="DA141" s="1067"/>
      <c r="DB141" s="1067"/>
      <c r="DC141" s="1067"/>
      <c r="DD141" s="1067"/>
      <c r="DE141" s="1067"/>
      <c r="DF141" s="1067"/>
      <c r="DG141" s="1067"/>
      <c r="DH141" s="1067"/>
      <c r="DI141" s="1082">
        <v>0</v>
      </c>
      <c r="DJ141" s="1067">
        <f t="shared" si="155"/>
        <v>0</v>
      </c>
      <c r="DK141" s="1067"/>
      <c r="DL141" s="1067"/>
      <c r="DM141" s="1067"/>
      <c r="DN141" s="1067">
        <f t="shared" si="156"/>
        <v>0</v>
      </c>
      <c r="DO141" s="1067">
        <f t="shared" si="156"/>
        <v>0</v>
      </c>
      <c r="DP141" s="1067">
        <f t="shared" si="156"/>
        <v>0</v>
      </c>
      <c r="DQ141" s="1067">
        <f t="shared" si="156"/>
        <v>0</v>
      </c>
      <c r="DR141" s="1067"/>
      <c r="DS141" s="1067">
        <f t="shared" si="157"/>
        <v>0</v>
      </c>
      <c r="DT141" s="1067">
        <f t="shared" si="157"/>
        <v>0</v>
      </c>
      <c r="DU141" s="1067"/>
      <c r="DV141" s="1067">
        <f t="shared" si="158"/>
        <v>0</v>
      </c>
      <c r="DW141" s="1067">
        <f t="shared" si="158"/>
        <v>0</v>
      </c>
      <c r="DX141" s="1067">
        <f t="shared" si="158"/>
        <v>0</v>
      </c>
      <c r="DY141" s="1067">
        <f t="shared" si="159"/>
        <v>0</v>
      </c>
      <c r="DZ141" s="1067">
        <f t="shared" si="159"/>
        <v>0</v>
      </c>
      <c r="EA141" s="1067">
        <f t="shared" si="159"/>
        <v>0</v>
      </c>
      <c r="EB141" s="1067">
        <f t="shared" si="159"/>
        <v>0</v>
      </c>
      <c r="EC141" s="1067"/>
      <c r="ED141" s="1067">
        <f t="shared" si="160"/>
        <v>0</v>
      </c>
    </row>
    <row r="142" spans="1:136" ht="21" customHeight="1" x14ac:dyDescent="0.25">
      <c r="A142" s="1560"/>
      <c r="B142" s="989"/>
      <c r="C142" s="852" t="s">
        <v>4495</v>
      </c>
      <c r="D142" s="1019" t="s">
        <v>4714</v>
      </c>
      <c r="E142" s="995">
        <v>111</v>
      </c>
      <c r="F142" s="1120" t="s">
        <v>4482</v>
      </c>
      <c r="G142" s="1400"/>
      <c r="H142" s="1061">
        <f t="shared" si="143"/>
        <v>375878510</v>
      </c>
      <c r="I142" s="1061">
        <f t="shared" si="144"/>
        <v>180000000</v>
      </c>
      <c r="J142" s="1401"/>
      <c r="K142" s="1284"/>
      <c r="L142" s="1284"/>
      <c r="M142" s="1119">
        <v>6</v>
      </c>
      <c r="N142" s="1119">
        <v>0</v>
      </c>
      <c r="O142" s="1119">
        <v>0</v>
      </c>
      <c r="P142" s="1115">
        <v>100</v>
      </c>
      <c r="Q142" s="1115">
        <v>0</v>
      </c>
      <c r="R142" s="1115">
        <v>0</v>
      </c>
      <c r="S142" s="1120"/>
      <c r="T142" s="1120"/>
      <c r="U142" s="1120"/>
      <c r="V142" s="1120"/>
      <c r="W142" s="1120"/>
      <c r="X142" s="1120"/>
      <c r="Y142" s="1008">
        <f t="shared" si="145"/>
        <v>555878510</v>
      </c>
      <c r="Z142" s="1008"/>
      <c r="AA142" s="1008"/>
      <c r="AB142" s="1008"/>
      <c r="AC142" s="1008">
        <f>424000000+400000000-448121490+180000000</f>
        <v>555878510</v>
      </c>
      <c r="AD142" s="1008"/>
      <c r="AE142" s="1008"/>
      <c r="AF142" s="1008"/>
      <c r="AG142" s="1008"/>
      <c r="AH142" s="1008"/>
      <c r="AI142" s="1008"/>
      <c r="AJ142" s="1008"/>
      <c r="AK142" s="1008"/>
      <c r="AL142" s="1008"/>
      <c r="AM142" s="1008"/>
      <c r="AN142" s="1008"/>
      <c r="AO142" s="1008"/>
      <c r="AP142" s="1008"/>
      <c r="AQ142" s="1008"/>
      <c r="AR142" s="1008"/>
      <c r="AS142" s="1008"/>
      <c r="AT142" s="984"/>
      <c r="AU142" s="1011">
        <f t="shared" si="103"/>
        <v>0.67618823760609126</v>
      </c>
      <c r="AV142" s="1008">
        <f t="shared" si="146"/>
        <v>375878510</v>
      </c>
      <c r="AW142" s="1008"/>
      <c r="AX142" s="1008"/>
      <c r="AY142" s="1008"/>
      <c r="AZ142" s="1008">
        <f>+'[13]MAYO 2015'!$L$79-11600</f>
        <v>375878510</v>
      </c>
      <c r="BA142" s="1008"/>
      <c r="BB142" s="1008"/>
      <c r="BC142" s="1008"/>
      <c r="BD142" s="1008"/>
      <c r="BE142" s="1008"/>
      <c r="BF142" s="1008"/>
      <c r="BG142" s="1008"/>
      <c r="BH142" s="1008"/>
      <c r="BI142" s="1008"/>
      <c r="BJ142" s="1008"/>
      <c r="BK142" s="1008"/>
      <c r="BL142" s="1008"/>
      <c r="BM142" s="1008"/>
      <c r="BN142" s="1008"/>
      <c r="BO142" s="1008"/>
      <c r="BP142" s="1008"/>
      <c r="BQ142" s="1011">
        <f t="shared" si="105"/>
        <v>0.32381176239390874</v>
      </c>
      <c r="BR142" s="1008">
        <f t="shared" si="147"/>
        <v>180000000</v>
      </c>
      <c r="BS142" s="1008">
        <f t="shared" si="148"/>
        <v>0</v>
      </c>
      <c r="BT142" s="1008">
        <f t="shared" si="149"/>
        <v>0</v>
      </c>
      <c r="BU142" s="1008"/>
      <c r="BV142" s="1008">
        <f t="shared" si="150"/>
        <v>180000000</v>
      </c>
      <c r="BW142" s="1008">
        <f t="shared" si="150"/>
        <v>0</v>
      </c>
      <c r="BX142" s="1008">
        <f t="shared" si="151"/>
        <v>0</v>
      </c>
      <c r="BY142" s="1008">
        <f t="shared" si="151"/>
        <v>0</v>
      </c>
      <c r="BZ142" s="1008"/>
      <c r="CA142" s="1008">
        <f t="shared" si="152"/>
        <v>0</v>
      </c>
      <c r="CB142" s="1008">
        <f t="shared" si="152"/>
        <v>0</v>
      </c>
      <c r="CC142" s="1008">
        <f t="shared" si="152"/>
        <v>0</v>
      </c>
      <c r="CD142" s="1008">
        <f t="shared" si="152"/>
        <v>0</v>
      </c>
      <c r="CE142" s="1008">
        <f t="shared" si="152"/>
        <v>0</v>
      </c>
      <c r="CF142" s="1008">
        <f t="shared" si="152"/>
        <v>0</v>
      </c>
      <c r="CG142" s="1008">
        <f t="shared" si="152"/>
        <v>0</v>
      </c>
      <c r="CH142" s="1008">
        <f t="shared" si="152"/>
        <v>0</v>
      </c>
      <c r="CI142" s="1008">
        <f t="shared" si="152"/>
        <v>0</v>
      </c>
      <c r="CJ142" s="1008"/>
      <c r="CK142" s="1008">
        <f t="shared" si="161"/>
        <v>0</v>
      </c>
      <c r="CL142" s="1008">
        <f t="shared" si="153"/>
        <v>0</v>
      </c>
      <c r="CM142" s="1011">
        <f t="shared" si="113"/>
        <v>0.67618823760609126</v>
      </c>
      <c r="CN142" s="1008">
        <f t="shared" si="154"/>
        <v>375878510</v>
      </c>
      <c r="CO142" s="1008"/>
      <c r="CP142" s="1008"/>
      <c r="CQ142" s="1008"/>
      <c r="CR142" s="1008">
        <v>375878510</v>
      </c>
      <c r="CS142" s="1008"/>
      <c r="CT142" s="1008"/>
      <c r="CU142" s="1008"/>
      <c r="CV142" s="1008"/>
      <c r="CW142" s="1008"/>
      <c r="CX142" s="1008"/>
      <c r="CY142" s="1008"/>
      <c r="CZ142" s="1008"/>
      <c r="DA142" s="1008"/>
      <c r="DB142" s="1008"/>
      <c r="DC142" s="1008"/>
      <c r="DD142" s="1008"/>
      <c r="DE142" s="1008"/>
      <c r="DF142" s="1008"/>
      <c r="DG142" s="1008"/>
      <c r="DH142" s="1008"/>
      <c r="DI142" s="1011">
        <f t="shared" si="115"/>
        <v>0.32381176239390874</v>
      </c>
      <c r="DJ142" s="1008">
        <f t="shared" si="155"/>
        <v>180000000</v>
      </c>
      <c r="DK142" s="1008"/>
      <c r="DL142" s="1008"/>
      <c r="DM142" s="1008"/>
      <c r="DN142" s="1008">
        <f t="shared" si="156"/>
        <v>180000000</v>
      </c>
      <c r="DO142" s="1008">
        <f t="shared" si="156"/>
        <v>0</v>
      </c>
      <c r="DP142" s="1008">
        <f t="shared" si="156"/>
        <v>0</v>
      </c>
      <c r="DQ142" s="1008">
        <f t="shared" si="156"/>
        <v>0</v>
      </c>
      <c r="DR142" s="1008"/>
      <c r="DS142" s="1008">
        <f t="shared" si="157"/>
        <v>0</v>
      </c>
      <c r="DT142" s="1008">
        <f t="shared" si="157"/>
        <v>0</v>
      </c>
      <c r="DU142" s="1008"/>
      <c r="DV142" s="1008">
        <f t="shared" si="158"/>
        <v>0</v>
      </c>
      <c r="DW142" s="1008">
        <f t="shared" si="158"/>
        <v>0</v>
      </c>
      <c r="DX142" s="1008">
        <f t="shared" si="158"/>
        <v>0</v>
      </c>
      <c r="DY142" s="1008">
        <f t="shared" si="159"/>
        <v>0</v>
      </c>
      <c r="DZ142" s="1008">
        <f t="shared" si="159"/>
        <v>0</v>
      </c>
      <c r="EA142" s="1008">
        <f t="shared" si="159"/>
        <v>0</v>
      </c>
      <c r="EB142" s="1008">
        <f t="shared" si="159"/>
        <v>0</v>
      </c>
      <c r="EC142" s="1008"/>
      <c r="ED142" s="1008">
        <f t="shared" si="160"/>
        <v>0</v>
      </c>
    </row>
    <row r="143" spans="1:136" s="203" customFormat="1" ht="48.75" customHeight="1" x14ac:dyDescent="0.25">
      <c r="A143" s="1560"/>
      <c r="B143" s="989"/>
      <c r="C143" s="1081" t="s">
        <v>4496</v>
      </c>
      <c r="D143" s="1019" t="s">
        <v>4478</v>
      </c>
      <c r="E143" s="997">
        <v>111</v>
      </c>
      <c r="F143" s="1120" t="s">
        <v>4482</v>
      </c>
      <c r="G143" s="1400"/>
      <c r="H143" s="1061">
        <f t="shared" si="143"/>
        <v>0</v>
      </c>
      <c r="I143" s="1061">
        <f t="shared" si="144"/>
        <v>0</v>
      </c>
      <c r="J143" s="1270">
        <v>9</v>
      </c>
      <c r="K143" s="1305">
        <v>129</v>
      </c>
      <c r="L143" s="1305">
        <v>20</v>
      </c>
      <c r="M143" s="1075">
        <v>0</v>
      </c>
      <c r="N143" s="1075">
        <v>0</v>
      </c>
      <c r="O143" s="1075">
        <v>0</v>
      </c>
      <c r="P143" s="1075"/>
      <c r="Q143" s="1075"/>
      <c r="R143" s="1075"/>
      <c r="S143" s="1120"/>
      <c r="T143" s="1120"/>
      <c r="U143" s="1120"/>
      <c r="V143" s="1120"/>
      <c r="W143" s="1120"/>
      <c r="X143" s="1120"/>
      <c r="Y143" s="1067">
        <f t="shared" si="145"/>
        <v>0</v>
      </c>
      <c r="Z143" s="1067"/>
      <c r="AA143" s="1067"/>
      <c r="AB143" s="1067"/>
      <c r="AC143" s="1067">
        <f>212000000-212000000</f>
        <v>0</v>
      </c>
      <c r="AD143" s="1067"/>
      <c r="AE143" s="1067"/>
      <c r="AF143" s="1067"/>
      <c r="AG143" s="1067"/>
      <c r="AH143" s="1067"/>
      <c r="AI143" s="1067"/>
      <c r="AJ143" s="1067"/>
      <c r="AK143" s="1067"/>
      <c r="AL143" s="1067"/>
      <c r="AM143" s="1067"/>
      <c r="AN143" s="1067"/>
      <c r="AO143" s="1067"/>
      <c r="AP143" s="1067"/>
      <c r="AQ143" s="1067"/>
      <c r="AR143" s="1067"/>
      <c r="AS143" s="1067"/>
      <c r="AT143" s="1089"/>
      <c r="AU143" s="1082">
        <v>0</v>
      </c>
      <c r="AV143" s="1067">
        <f t="shared" si="146"/>
        <v>0</v>
      </c>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82">
        <v>0</v>
      </c>
      <c r="BR143" s="1067">
        <f t="shared" si="147"/>
        <v>0</v>
      </c>
      <c r="BS143" s="1067">
        <f t="shared" si="148"/>
        <v>0</v>
      </c>
      <c r="BT143" s="1067">
        <f t="shared" si="149"/>
        <v>0</v>
      </c>
      <c r="BU143" s="1067"/>
      <c r="BV143" s="1067">
        <f t="shared" si="150"/>
        <v>0</v>
      </c>
      <c r="BW143" s="1067">
        <f t="shared" si="150"/>
        <v>0</v>
      </c>
      <c r="BX143" s="1067">
        <f t="shared" si="151"/>
        <v>0</v>
      </c>
      <c r="BY143" s="1067">
        <f t="shared" si="151"/>
        <v>0</v>
      </c>
      <c r="BZ143" s="1067"/>
      <c r="CA143" s="1067">
        <f t="shared" si="152"/>
        <v>0</v>
      </c>
      <c r="CB143" s="1067">
        <f t="shared" si="152"/>
        <v>0</v>
      </c>
      <c r="CC143" s="1067">
        <f t="shared" si="152"/>
        <v>0</v>
      </c>
      <c r="CD143" s="1067">
        <f t="shared" si="152"/>
        <v>0</v>
      </c>
      <c r="CE143" s="1067">
        <f t="shared" si="152"/>
        <v>0</v>
      </c>
      <c r="CF143" s="1067">
        <f t="shared" si="152"/>
        <v>0</v>
      </c>
      <c r="CG143" s="1067">
        <f t="shared" si="152"/>
        <v>0</v>
      </c>
      <c r="CH143" s="1067">
        <f t="shared" si="152"/>
        <v>0</v>
      </c>
      <c r="CI143" s="1067">
        <f t="shared" si="152"/>
        <v>0</v>
      </c>
      <c r="CJ143" s="1067"/>
      <c r="CK143" s="1067">
        <f t="shared" si="161"/>
        <v>0</v>
      </c>
      <c r="CL143" s="1067">
        <f t="shared" si="153"/>
        <v>0</v>
      </c>
      <c r="CM143" s="1082">
        <v>0</v>
      </c>
      <c r="CN143" s="1067">
        <f t="shared" si="154"/>
        <v>0</v>
      </c>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82">
        <v>0</v>
      </c>
      <c r="DJ143" s="1067">
        <f t="shared" si="155"/>
        <v>0</v>
      </c>
      <c r="DK143" s="1067"/>
      <c r="DL143" s="1067"/>
      <c r="DM143" s="1067"/>
      <c r="DN143" s="1067">
        <f t="shared" si="156"/>
        <v>0</v>
      </c>
      <c r="DO143" s="1067">
        <f t="shared" si="156"/>
        <v>0</v>
      </c>
      <c r="DP143" s="1067">
        <f t="shared" si="156"/>
        <v>0</v>
      </c>
      <c r="DQ143" s="1067">
        <f t="shared" si="156"/>
        <v>0</v>
      </c>
      <c r="DR143" s="1067"/>
      <c r="DS143" s="1067">
        <f t="shared" si="157"/>
        <v>0</v>
      </c>
      <c r="DT143" s="1067">
        <f t="shared" si="157"/>
        <v>0</v>
      </c>
      <c r="DU143" s="1067"/>
      <c r="DV143" s="1067">
        <f t="shared" si="158"/>
        <v>0</v>
      </c>
      <c r="DW143" s="1067">
        <f t="shared" si="158"/>
        <v>0</v>
      </c>
      <c r="DX143" s="1067">
        <f t="shared" si="158"/>
        <v>0</v>
      </c>
      <c r="DY143" s="1067">
        <f t="shared" si="159"/>
        <v>0</v>
      </c>
      <c r="DZ143" s="1067">
        <f t="shared" si="159"/>
        <v>0</v>
      </c>
      <c r="EA143" s="1067">
        <f t="shared" si="159"/>
        <v>0</v>
      </c>
      <c r="EB143" s="1067">
        <f t="shared" si="159"/>
        <v>0</v>
      </c>
      <c r="EC143" s="1067"/>
      <c r="ED143" s="1067">
        <f t="shared" si="160"/>
        <v>0</v>
      </c>
    </row>
    <row r="144" spans="1:136" s="203" customFormat="1" ht="27.75" customHeight="1" x14ac:dyDescent="0.25">
      <c r="A144" s="1560"/>
      <c r="B144" s="989"/>
      <c r="C144" s="1081" t="s">
        <v>4497</v>
      </c>
      <c r="D144" s="1019" t="s">
        <v>4479</v>
      </c>
      <c r="E144" s="997">
        <v>111</v>
      </c>
      <c r="F144" s="1120" t="s">
        <v>4482</v>
      </c>
      <c r="G144" s="1400"/>
      <c r="H144" s="1061">
        <f t="shared" si="143"/>
        <v>0</v>
      </c>
      <c r="I144" s="1061">
        <f t="shared" si="144"/>
        <v>0</v>
      </c>
      <c r="J144" s="1270"/>
      <c r="K144" s="1305"/>
      <c r="L144" s="1305"/>
      <c r="M144" s="1075">
        <v>0</v>
      </c>
      <c r="N144" s="1075">
        <v>0</v>
      </c>
      <c r="O144" s="1075">
        <v>0</v>
      </c>
      <c r="P144" s="1075"/>
      <c r="Q144" s="1075"/>
      <c r="R144" s="1075"/>
      <c r="S144" s="1120"/>
      <c r="T144" s="1120"/>
      <c r="U144" s="1120"/>
      <c r="V144" s="1120"/>
      <c r="W144" s="1120"/>
      <c r="X144" s="1120"/>
      <c r="Y144" s="1067">
        <f t="shared" si="145"/>
        <v>0</v>
      </c>
      <c r="Z144" s="1067"/>
      <c r="AA144" s="1067"/>
      <c r="AB144" s="1067"/>
      <c r="AC144" s="1067">
        <f>63600000-50000000-13600000</f>
        <v>0</v>
      </c>
      <c r="AD144" s="1067"/>
      <c r="AE144" s="1067"/>
      <c r="AF144" s="1067"/>
      <c r="AG144" s="1067"/>
      <c r="AH144" s="1067"/>
      <c r="AI144" s="1067"/>
      <c r="AJ144" s="1067"/>
      <c r="AK144" s="1067"/>
      <c r="AL144" s="1067"/>
      <c r="AM144" s="1067"/>
      <c r="AN144" s="1067"/>
      <c r="AO144" s="1067"/>
      <c r="AP144" s="1067"/>
      <c r="AQ144" s="1067"/>
      <c r="AR144" s="1067"/>
      <c r="AS144" s="1067"/>
      <c r="AT144" s="1089"/>
      <c r="AU144" s="1082">
        <v>0</v>
      </c>
      <c r="AV144" s="1067">
        <f t="shared" si="146"/>
        <v>0</v>
      </c>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7"/>
      <c r="BQ144" s="1082">
        <v>0</v>
      </c>
      <c r="BR144" s="1067">
        <f t="shared" si="147"/>
        <v>0</v>
      </c>
      <c r="BS144" s="1067">
        <f t="shared" si="148"/>
        <v>0</v>
      </c>
      <c r="BT144" s="1067">
        <f t="shared" si="149"/>
        <v>0</v>
      </c>
      <c r="BU144" s="1067"/>
      <c r="BV144" s="1067">
        <f t="shared" si="150"/>
        <v>0</v>
      </c>
      <c r="BW144" s="1067">
        <f t="shared" si="150"/>
        <v>0</v>
      </c>
      <c r="BX144" s="1067">
        <f t="shared" si="151"/>
        <v>0</v>
      </c>
      <c r="BY144" s="1067">
        <f t="shared" si="151"/>
        <v>0</v>
      </c>
      <c r="BZ144" s="1067"/>
      <c r="CA144" s="1067">
        <f t="shared" si="152"/>
        <v>0</v>
      </c>
      <c r="CB144" s="1067">
        <f t="shared" si="152"/>
        <v>0</v>
      </c>
      <c r="CC144" s="1067">
        <f t="shared" si="152"/>
        <v>0</v>
      </c>
      <c r="CD144" s="1067">
        <f t="shared" si="152"/>
        <v>0</v>
      </c>
      <c r="CE144" s="1067">
        <f t="shared" si="152"/>
        <v>0</v>
      </c>
      <c r="CF144" s="1067">
        <f t="shared" si="152"/>
        <v>0</v>
      </c>
      <c r="CG144" s="1067">
        <f t="shared" si="152"/>
        <v>0</v>
      </c>
      <c r="CH144" s="1067">
        <f t="shared" si="152"/>
        <v>0</v>
      </c>
      <c r="CI144" s="1067">
        <f t="shared" si="152"/>
        <v>0</v>
      </c>
      <c r="CJ144" s="1067"/>
      <c r="CK144" s="1067">
        <f t="shared" si="161"/>
        <v>0</v>
      </c>
      <c r="CL144" s="1067">
        <f t="shared" si="153"/>
        <v>0</v>
      </c>
      <c r="CM144" s="1082">
        <v>0</v>
      </c>
      <c r="CN144" s="1067">
        <f t="shared" si="154"/>
        <v>0</v>
      </c>
      <c r="CO144" s="1067"/>
      <c r="CP144" s="1067"/>
      <c r="CQ144" s="1067"/>
      <c r="CR144" s="1067"/>
      <c r="CS144" s="1067"/>
      <c r="CT144" s="1067"/>
      <c r="CU144" s="1067"/>
      <c r="CV144" s="1067"/>
      <c r="CW144" s="1067"/>
      <c r="CX144" s="1067"/>
      <c r="CY144" s="1067"/>
      <c r="CZ144" s="1067"/>
      <c r="DA144" s="1067"/>
      <c r="DB144" s="1067"/>
      <c r="DC144" s="1067"/>
      <c r="DD144" s="1067"/>
      <c r="DE144" s="1067"/>
      <c r="DF144" s="1067"/>
      <c r="DG144" s="1067"/>
      <c r="DH144" s="1067"/>
      <c r="DI144" s="1082">
        <v>0</v>
      </c>
      <c r="DJ144" s="1067">
        <f t="shared" si="155"/>
        <v>0</v>
      </c>
      <c r="DK144" s="1067"/>
      <c r="DL144" s="1067"/>
      <c r="DM144" s="1067"/>
      <c r="DN144" s="1067">
        <f t="shared" si="156"/>
        <v>0</v>
      </c>
      <c r="DO144" s="1067">
        <f t="shared" si="156"/>
        <v>0</v>
      </c>
      <c r="DP144" s="1067">
        <f t="shared" si="156"/>
        <v>0</v>
      </c>
      <c r="DQ144" s="1067">
        <f t="shared" si="156"/>
        <v>0</v>
      </c>
      <c r="DR144" s="1067"/>
      <c r="DS144" s="1067">
        <f t="shared" si="157"/>
        <v>0</v>
      </c>
      <c r="DT144" s="1067">
        <f t="shared" si="157"/>
        <v>0</v>
      </c>
      <c r="DU144" s="1067"/>
      <c r="DV144" s="1067">
        <f t="shared" si="158"/>
        <v>0</v>
      </c>
      <c r="DW144" s="1067">
        <f t="shared" si="158"/>
        <v>0</v>
      </c>
      <c r="DX144" s="1067">
        <f t="shared" si="158"/>
        <v>0</v>
      </c>
      <c r="DY144" s="1067">
        <f t="shared" si="159"/>
        <v>0</v>
      </c>
      <c r="DZ144" s="1067">
        <f t="shared" si="159"/>
        <v>0</v>
      </c>
      <c r="EA144" s="1067">
        <f t="shared" si="159"/>
        <v>0</v>
      </c>
      <c r="EB144" s="1067">
        <f t="shared" si="159"/>
        <v>0</v>
      </c>
      <c r="EC144" s="1067"/>
      <c r="ED144" s="1067">
        <f t="shared" si="160"/>
        <v>0</v>
      </c>
    </row>
    <row r="145" spans="1:134" ht="34.5" customHeight="1" x14ac:dyDescent="0.25">
      <c r="A145" s="1560"/>
      <c r="B145" s="989"/>
      <c r="C145" s="852" t="s">
        <v>4498</v>
      </c>
      <c r="D145" s="1019" t="s">
        <v>4480</v>
      </c>
      <c r="E145" s="995">
        <v>111</v>
      </c>
      <c r="F145" s="1120" t="s">
        <v>4482</v>
      </c>
      <c r="G145" s="1400"/>
      <c r="H145" s="1061">
        <f t="shared" si="143"/>
        <v>0</v>
      </c>
      <c r="I145" s="1061">
        <f t="shared" si="144"/>
        <v>121000000</v>
      </c>
      <c r="J145" s="1575">
        <v>1120</v>
      </c>
      <c r="K145" s="1578">
        <v>3920</v>
      </c>
      <c r="L145" s="1283">
        <v>1456</v>
      </c>
      <c r="M145" s="1115">
        <v>0</v>
      </c>
      <c r="N145" s="1115">
        <v>0</v>
      </c>
      <c r="O145" s="1115">
        <v>0</v>
      </c>
      <c r="P145" s="1115">
        <v>0</v>
      </c>
      <c r="Q145" s="1115">
        <v>0</v>
      </c>
      <c r="R145" s="1115">
        <v>0</v>
      </c>
      <c r="S145" s="1120"/>
      <c r="T145" s="1120"/>
      <c r="U145" s="1120"/>
      <c r="V145" s="1120"/>
      <c r="W145" s="1120"/>
      <c r="X145" s="1120"/>
      <c r="Y145" s="1008">
        <f t="shared" si="145"/>
        <v>121000000</v>
      </c>
      <c r="Z145" s="1008"/>
      <c r="AA145" s="1008"/>
      <c r="AB145" s="1008"/>
      <c r="AC145" s="1008">
        <f>1590000000+897519551-1587519551-900000000</f>
        <v>0</v>
      </c>
      <c r="AD145" s="1008"/>
      <c r="AE145" s="1008"/>
      <c r="AF145" s="1008"/>
      <c r="AG145" s="1008"/>
      <c r="AH145" s="1008"/>
      <c r="AI145" s="1008"/>
      <c r="AJ145" s="1008"/>
      <c r="AK145" s="1008"/>
      <c r="AL145" s="1008"/>
      <c r="AM145" s="1008"/>
      <c r="AN145" s="1008"/>
      <c r="AO145" s="1008"/>
      <c r="AP145" s="1008"/>
      <c r="AQ145" s="1008"/>
      <c r="AR145" s="1008"/>
      <c r="AS145" s="1008">
        <v>121000000</v>
      </c>
      <c r="AT145" s="984"/>
      <c r="AU145" s="1011">
        <f t="shared" si="103"/>
        <v>0</v>
      </c>
      <c r="AV145" s="1008">
        <f t="shared" si="146"/>
        <v>0</v>
      </c>
      <c r="AW145" s="1008"/>
      <c r="AX145" s="1008"/>
      <c r="AY145" s="1008"/>
      <c r="AZ145" s="1008"/>
      <c r="BA145" s="1008"/>
      <c r="BB145" s="1008"/>
      <c r="BC145" s="1008"/>
      <c r="BD145" s="1008"/>
      <c r="BE145" s="1008"/>
      <c r="BF145" s="1008"/>
      <c r="BG145" s="1008"/>
      <c r="BH145" s="1008"/>
      <c r="BI145" s="1008"/>
      <c r="BJ145" s="1008"/>
      <c r="BK145" s="1008"/>
      <c r="BL145" s="1008"/>
      <c r="BM145" s="1008"/>
      <c r="BN145" s="1008"/>
      <c r="BO145" s="1008"/>
      <c r="BP145" s="1008"/>
      <c r="BQ145" s="1011">
        <f t="shared" si="105"/>
        <v>1</v>
      </c>
      <c r="BR145" s="1008">
        <f t="shared" si="147"/>
        <v>121000000</v>
      </c>
      <c r="BS145" s="1008">
        <f t="shared" si="148"/>
        <v>0</v>
      </c>
      <c r="BT145" s="1008">
        <f t="shared" si="149"/>
        <v>0</v>
      </c>
      <c r="BU145" s="1008"/>
      <c r="BV145" s="1008">
        <f t="shared" si="150"/>
        <v>0</v>
      </c>
      <c r="BW145" s="1008">
        <f t="shared" si="150"/>
        <v>0</v>
      </c>
      <c r="BX145" s="1008">
        <f t="shared" si="151"/>
        <v>0</v>
      </c>
      <c r="BY145" s="1008">
        <f t="shared" si="151"/>
        <v>0</v>
      </c>
      <c r="BZ145" s="1008"/>
      <c r="CA145" s="1008">
        <f t="shared" si="152"/>
        <v>0</v>
      </c>
      <c r="CB145" s="1008">
        <f t="shared" si="152"/>
        <v>0</v>
      </c>
      <c r="CC145" s="1008">
        <f t="shared" si="152"/>
        <v>0</v>
      </c>
      <c r="CD145" s="1008">
        <f t="shared" si="152"/>
        <v>0</v>
      </c>
      <c r="CE145" s="1008">
        <f t="shared" si="152"/>
        <v>0</v>
      </c>
      <c r="CF145" s="1008">
        <f t="shared" si="152"/>
        <v>0</v>
      </c>
      <c r="CG145" s="1008">
        <f t="shared" si="152"/>
        <v>0</v>
      </c>
      <c r="CH145" s="1008">
        <f t="shared" si="152"/>
        <v>0</v>
      </c>
      <c r="CI145" s="1008">
        <f t="shared" si="152"/>
        <v>0</v>
      </c>
      <c r="CJ145" s="1008"/>
      <c r="CK145" s="1008">
        <f t="shared" si="161"/>
        <v>0</v>
      </c>
      <c r="CL145" s="1008">
        <f t="shared" si="153"/>
        <v>121000000</v>
      </c>
      <c r="CM145" s="1011">
        <f t="shared" si="113"/>
        <v>0</v>
      </c>
      <c r="CN145" s="1008">
        <f t="shared" si="154"/>
        <v>0</v>
      </c>
      <c r="CO145" s="1008"/>
      <c r="CP145" s="1008"/>
      <c r="CQ145" s="1008"/>
      <c r="CR145" s="1008"/>
      <c r="CS145" s="1008"/>
      <c r="CT145" s="1008"/>
      <c r="CU145" s="1008"/>
      <c r="CV145" s="1008"/>
      <c r="CW145" s="1008"/>
      <c r="CX145" s="1008"/>
      <c r="CY145" s="1008"/>
      <c r="CZ145" s="1008"/>
      <c r="DA145" s="1008"/>
      <c r="DB145" s="1008"/>
      <c r="DC145" s="1008"/>
      <c r="DD145" s="1008"/>
      <c r="DE145" s="1008"/>
      <c r="DF145" s="1008"/>
      <c r="DG145" s="1008"/>
      <c r="DH145" s="1008"/>
      <c r="DI145" s="1011">
        <f t="shared" si="115"/>
        <v>1</v>
      </c>
      <c r="DJ145" s="1008">
        <f t="shared" si="155"/>
        <v>121000000</v>
      </c>
      <c r="DK145" s="1008"/>
      <c r="DL145" s="1008"/>
      <c r="DM145" s="1008"/>
      <c r="DN145" s="1008">
        <f t="shared" si="156"/>
        <v>0</v>
      </c>
      <c r="DO145" s="1008">
        <f t="shared" si="156"/>
        <v>0</v>
      </c>
      <c r="DP145" s="1008">
        <f t="shared" si="156"/>
        <v>0</v>
      </c>
      <c r="DQ145" s="1008">
        <f t="shared" si="156"/>
        <v>0</v>
      </c>
      <c r="DR145" s="1008"/>
      <c r="DS145" s="1008">
        <f t="shared" si="157"/>
        <v>0</v>
      </c>
      <c r="DT145" s="1008">
        <f t="shared" si="157"/>
        <v>0</v>
      </c>
      <c r="DU145" s="1008"/>
      <c r="DV145" s="1008">
        <f t="shared" si="158"/>
        <v>0</v>
      </c>
      <c r="DW145" s="1008">
        <f t="shared" si="158"/>
        <v>0</v>
      </c>
      <c r="DX145" s="1008">
        <f t="shared" si="158"/>
        <v>0</v>
      </c>
      <c r="DY145" s="1008">
        <f t="shared" si="159"/>
        <v>0</v>
      </c>
      <c r="DZ145" s="1008">
        <f t="shared" si="159"/>
        <v>0</v>
      </c>
      <c r="EA145" s="1008">
        <f t="shared" si="159"/>
        <v>0</v>
      </c>
      <c r="EB145" s="1008">
        <f t="shared" si="159"/>
        <v>0</v>
      </c>
      <c r="EC145" s="1008"/>
      <c r="ED145" s="1008">
        <f t="shared" si="160"/>
        <v>121000000</v>
      </c>
    </row>
    <row r="146" spans="1:134" s="203" customFormat="1" ht="35.25" customHeight="1" x14ac:dyDescent="0.25">
      <c r="A146" s="1560"/>
      <c r="B146" s="989"/>
      <c r="C146" s="1081" t="s">
        <v>4499</v>
      </c>
      <c r="D146" s="1019" t="s">
        <v>4481</v>
      </c>
      <c r="E146" s="997">
        <v>111</v>
      </c>
      <c r="F146" s="1120" t="s">
        <v>4482</v>
      </c>
      <c r="G146" s="1400"/>
      <c r="H146" s="1061">
        <f t="shared" si="143"/>
        <v>0</v>
      </c>
      <c r="I146" s="1061">
        <f t="shared" si="144"/>
        <v>0</v>
      </c>
      <c r="J146" s="1576"/>
      <c r="K146" s="1579"/>
      <c r="L146" s="1573"/>
      <c r="M146" s="1075"/>
      <c r="N146" s="1075"/>
      <c r="O146" s="1075"/>
      <c r="P146" s="1075"/>
      <c r="Q146" s="1075"/>
      <c r="R146" s="1075"/>
      <c r="S146" s="1120"/>
      <c r="T146" s="1120"/>
      <c r="U146" s="1120"/>
      <c r="V146" s="1120"/>
      <c r="W146" s="1120"/>
      <c r="X146" s="1120"/>
      <c r="Y146" s="1067">
        <f t="shared" si="145"/>
        <v>0</v>
      </c>
      <c r="Z146" s="149"/>
      <c r="AA146" s="149"/>
      <c r="AB146" s="149"/>
      <c r="AC146" s="1067">
        <f>417803755-417803755</f>
        <v>0</v>
      </c>
      <c r="AD146" s="149"/>
      <c r="AE146" s="149"/>
      <c r="AF146" s="149"/>
      <c r="AG146" s="149"/>
      <c r="AH146" s="149"/>
      <c r="AI146" s="149"/>
      <c r="AJ146" s="149"/>
      <c r="AK146" s="149"/>
      <c r="AL146" s="149"/>
      <c r="AM146" s="149"/>
      <c r="AN146" s="149"/>
      <c r="AO146" s="149"/>
      <c r="AP146" s="149"/>
      <c r="AQ146" s="149"/>
      <c r="AR146" s="149"/>
      <c r="AS146" s="149"/>
      <c r="AT146" s="1089"/>
      <c r="AU146" s="1082">
        <v>0</v>
      </c>
      <c r="AV146" s="1067">
        <f t="shared" si="146"/>
        <v>0</v>
      </c>
      <c r="AW146" s="1067"/>
      <c r="AX146" s="1067"/>
      <c r="AY146" s="1067"/>
      <c r="AZ146" s="1067"/>
      <c r="BA146" s="1067"/>
      <c r="BB146" s="1067"/>
      <c r="BC146" s="1067"/>
      <c r="BD146" s="1067"/>
      <c r="BE146" s="1067"/>
      <c r="BF146" s="1067"/>
      <c r="BG146" s="1067"/>
      <c r="BH146" s="1067"/>
      <c r="BI146" s="1067"/>
      <c r="BJ146" s="1067"/>
      <c r="BK146" s="1067"/>
      <c r="BL146" s="1067"/>
      <c r="BM146" s="1067"/>
      <c r="BN146" s="1067"/>
      <c r="BO146" s="1067"/>
      <c r="BP146" s="1067"/>
      <c r="BQ146" s="1082">
        <v>0</v>
      </c>
      <c r="BR146" s="1067">
        <f t="shared" si="147"/>
        <v>0</v>
      </c>
      <c r="BS146" s="1067">
        <f t="shared" si="148"/>
        <v>0</v>
      </c>
      <c r="BT146" s="1067">
        <f t="shared" si="149"/>
        <v>0</v>
      </c>
      <c r="BU146" s="1067"/>
      <c r="BV146" s="1067">
        <f t="shared" si="150"/>
        <v>0</v>
      </c>
      <c r="BW146" s="1067">
        <f t="shared" si="150"/>
        <v>0</v>
      </c>
      <c r="BX146" s="1067">
        <f t="shared" si="151"/>
        <v>0</v>
      </c>
      <c r="BY146" s="1067">
        <f t="shared" si="151"/>
        <v>0</v>
      </c>
      <c r="BZ146" s="1067"/>
      <c r="CA146" s="1067">
        <f t="shared" si="152"/>
        <v>0</v>
      </c>
      <c r="CB146" s="1067">
        <f t="shared" si="152"/>
        <v>0</v>
      </c>
      <c r="CC146" s="1067">
        <f t="shared" si="152"/>
        <v>0</v>
      </c>
      <c r="CD146" s="1067">
        <f t="shared" si="152"/>
        <v>0</v>
      </c>
      <c r="CE146" s="1067">
        <f t="shared" si="152"/>
        <v>0</v>
      </c>
      <c r="CF146" s="1067">
        <f t="shared" si="152"/>
        <v>0</v>
      </c>
      <c r="CG146" s="1067">
        <f t="shared" si="152"/>
        <v>0</v>
      </c>
      <c r="CH146" s="1067">
        <f t="shared" si="152"/>
        <v>0</v>
      </c>
      <c r="CI146" s="1067">
        <f t="shared" si="152"/>
        <v>0</v>
      </c>
      <c r="CJ146" s="1067"/>
      <c r="CK146" s="1067">
        <f t="shared" si="161"/>
        <v>0</v>
      </c>
      <c r="CL146" s="1067">
        <f t="shared" si="153"/>
        <v>0</v>
      </c>
      <c r="CM146" s="1082">
        <v>0</v>
      </c>
      <c r="CN146" s="1067">
        <f t="shared" si="154"/>
        <v>0</v>
      </c>
      <c r="CO146" s="1067"/>
      <c r="CP146" s="1067"/>
      <c r="CQ146" s="1067"/>
      <c r="CR146" s="1067"/>
      <c r="CS146" s="1067"/>
      <c r="CT146" s="1067"/>
      <c r="CU146" s="1067"/>
      <c r="CV146" s="1067"/>
      <c r="CW146" s="1067"/>
      <c r="CX146" s="1067"/>
      <c r="CY146" s="1067"/>
      <c r="CZ146" s="1067"/>
      <c r="DA146" s="1067"/>
      <c r="DB146" s="1067"/>
      <c r="DC146" s="1067"/>
      <c r="DD146" s="1067"/>
      <c r="DE146" s="1067"/>
      <c r="DF146" s="1067"/>
      <c r="DG146" s="1067"/>
      <c r="DH146" s="1067"/>
      <c r="DI146" s="1082">
        <v>0</v>
      </c>
      <c r="DJ146" s="1067">
        <f t="shared" si="155"/>
        <v>0</v>
      </c>
      <c r="DK146" s="1067"/>
      <c r="DL146" s="1067"/>
      <c r="DM146" s="1067"/>
      <c r="DN146" s="1067">
        <f t="shared" si="156"/>
        <v>0</v>
      </c>
      <c r="DO146" s="1067">
        <f t="shared" si="156"/>
        <v>0</v>
      </c>
      <c r="DP146" s="1067">
        <f t="shared" si="156"/>
        <v>0</v>
      </c>
      <c r="DQ146" s="1067">
        <f t="shared" si="156"/>
        <v>0</v>
      </c>
      <c r="DR146" s="1067"/>
      <c r="DS146" s="1067">
        <f t="shared" si="157"/>
        <v>0</v>
      </c>
      <c r="DT146" s="1067">
        <f t="shared" si="157"/>
        <v>0</v>
      </c>
      <c r="DU146" s="1067"/>
      <c r="DV146" s="1067">
        <f t="shared" si="158"/>
        <v>0</v>
      </c>
      <c r="DW146" s="1067">
        <f t="shared" si="158"/>
        <v>0</v>
      </c>
      <c r="DX146" s="1067">
        <f t="shared" si="158"/>
        <v>0</v>
      </c>
      <c r="DY146" s="1067">
        <f t="shared" si="159"/>
        <v>0</v>
      </c>
      <c r="DZ146" s="1067">
        <f t="shared" si="159"/>
        <v>0</v>
      </c>
      <c r="EA146" s="1067">
        <f t="shared" si="159"/>
        <v>0</v>
      </c>
      <c r="EB146" s="1067">
        <f t="shared" si="159"/>
        <v>0</v>
      </c>
      <c r="EC146" s="1067"/>
      <c r="ED146" s="1067">
        <f t="shared" si="160"/>
        <v>0</v>
      </c>
    </row>
    <row r="147" spans="1:134" ht="32.25" customHeight="1" x14ac:dyDescent="0.25">
      <c r="A147" s="1560"/>
      <c r="B147" s="989"/>
      <c r="C147" s="852" t="s">
        <v>4500</v>
      </c>
      <c r="D147" s="1019" t="s">
        <v>4718</v>
      </c>
      <c r="E147" s="995">
        <v>111</v>
      </c>
      <c r="F147" s="1120" t="s">
        <v>4482</v>
      </c>
      <c r="G147" s="1400"/>
      <c r="H147" s="1061">
        <f t="shared" si="143"/>
        <v>661861284</v>
      </c>
      <c r="I147" s="1061">
        <f t="shared" si="144"/>
        <v>463500048</v>
      </c>
      <c r="J147" s="1577"/>
      <c r="K147" s="1580"/>
      <c r="L147" s="1284"/>
      <c r="M147" s="1075"/>
      <c r="N147" s="1075"/>
      <c r="O147" s="1075"/>
      <c r="P147" s="1115">
        <v>42</v>
      </c>
      <c r="Q147" s="1115">
        <v>0</v>
      </c>
      <c r="R147" s="1115">
        <v>0</v>
      </c>
      <c r="S147" s="1120"/>
      <c r="T147" s="1120"/>
      <c r="U147" s="1120"/>
      <c r="V147" s="1120"/>
      <c r="W147" s="1120"/>
      <c r="X147" s="1120"/>
      <c r="Y147" s="1008">
        <f t="shared" si="145"/>
        <v>1125361332</v>
      </c>
      <c r="Z147" s="1008"/>
      <c r="AA147" s="1008"/>
      <c r="AB147" s="1008"/>
      <c r="AC147" s="1008">
        <f>371000000+890000000-104000000-133915719-12442500+39070000</f>
        <v>1049711781</v>
      </c>
      <c r="AD147" s="1008"/>
      <c r="AE147" s="1008"/>
      <c r="AF147" s="1008"/>
      <c r="AG147" s="1008"/>
      <c r="AH147" s="1008"/>
      <c r="AI147" s="1008"/>
      <c r="AJ147" s="1008"/>
      <c r="AK147" s="1008"/>
      <c r="AL147" s="1008"/>
      <c r="AM147" s="1008"/>
      <c r="AN147" s="1008">
        <f>114719551-39070000</f>
        <v>75649551</v>
      </c>
      <c r="AO147" s="1008"/>
      <c r="AP147" s="1008"/>
      <c r="AQ147" s="1008"/>
      <c r="AR147" s="1008"/>
      <c r="AS147" s="1008"/>
      <c r="AT147" s="984"/>
      <c r="AU147" s="1011">
        <f t="shared" si="103"/>
        <v>0.59279626288065845</v>
      </c>
      <c r="AV147" s="1008">
        <f t="shared" si="146"/>
        <v>667109992</v>
      </c>
      <c r="AW147" s="1008"/>
      <c r="AX147" s="1008"/>
      <c r="AY147" s="1008"/>
      <c r="AZ147" s="1008">
        <f>+'[17]SEPTIEMBRE 2015'!$M$130</f>
        <v>667109992</v>
      </c>
      <c r="BA147" s="1008"/>
      <c r="BB147" s="1008"/>
      <c r="BC147" s="1008"/>
      <c r="BD147" s="1008"/>
      <c r="BE147" s="1008"/>
      <c r="BF147" s="1008"/>
      <c r="BG147" s="1008"/>
      <c r="BH147" s="1008"/>
      <c r="BI147" s="1008"/>
      <c r="BJ147" s="1008"/>
      <c r="BK147" s="1008"/>
      <c r="BL147" s="1008"/>
      <c r="BM147" s="1008"/>
      <c r="BN147" s="1008"/>
      <c r="BO147" s="1008"/>
      <c r="BP147" s="1008"/>
      <c r="BQ147" s="1011">
        <f t="shared" si="105"/>
        <v>0.40720373711934155</v>
      </c>
      <c r="BR147" s="1008">
        <f t="shared" si="147"/>
        <v>458251340</v>
      </c>
      <c r="BS147" s="1008">
        <f t="shared" si="148"/>
        <v>0</v>
      </c>
      <c r="BT147" s="1008">
        <f t="shared" si="149"/>
        <v>0</v>
      </c>
      <c r="BU147" s="1008"/>
      <c r="BV147" s="1008">
        <f t="shared" si="150"/>
        <v>382601789</v>
      </c>
      <c r="BW147" s="1008">
        <f t="shared" si="150"/>
        <v>0</v>
      </c>
      <c r="BX147" s="1008">
        <f t="shared" si="151"/>
        <v>0</v>
      </c>
      <c r="BY147" s="1008">
        <f t="shared" si="151"/>
        <v>0</v>
      </c>
      <c r="BZ147" s="1008"/>
      <c r="CA147" s="1008">
        <f t="shared" si="152"/>
        <v>0</v>
      </c>
      <c r="CB147" s="1008">
        <f t="shared" si="152"/>
        <v>0</v>
      </c>
      <c r="CC147" s="1008">
        <f t="shared" si="152"/>
        <v>0</v>
      </c>
      <c r="CD147" s="1008">
        <f t="shared" si="152"/>
        <v>0</v>
      </c>
      <c r="CE147" s="1008">
        <f t="shared" si="152"/>
        <v>0</v>
      </c>
      <c r="CF147" s="1008">
        <f t="shared" si="152"/>
        <v>0</v>
      </c>
      <c r="CG147" s="1008">
        <f t="shared" si="152"/>
        <v>75649551</v>
      </c>
      <c r="CH147" s="1008">
        <f t="shared" si="152"/>
        <v>0</v>
      </c>
      <c r="CI147" s="1008">
        <f t="shared" si="152"/>
        <v>0</v>
      </c>
      <c r="CJ147" s="1008"/>
      <c r="CK147" s="1008">
        <f t="shared" si="161"/>
        <v>0</v>
      </c>
      <c r="CL147" s="1008">
        <f t="shared" si="153"/>
        <v>0</v>
      </c>
      <c r="CM147" s="1011">
        <f t="shared" si="113"/>
        <v>0.58813224266710451</v>
      </c>
      <c r="CN147" s="1008">
        <f t="shared" si="154"/>
        <v>661861284</v>
      </c>
      <c r="CO147" s="1008"/>
      <c r="CP147" s="1008"/>
      <c r="CQ147" s="1008"/>
      <c r="CR147" s="1008">
        <f>+'[17]SEPTIEMBRE 2015'!$H$128</f>
        <v>661861284</v>
      </c>
      <c r="CS147" s="1008"/>
      <c r="CT147" s="1008"/>
      <c r="CU147" s="1008"/>
      <c r="CV147" s="1008"/>
      <c r="CW147" s="1008"/>
      <c r="CX147" s="1008"/>
      <c r="CY147" s="1008"/>
      <c r="CZ147" s="1008"/>
      <c r="DA147" s="1008"/>
      <c r="DB147" s="1008"/>
      <c r="DC147" s="1008"/>
      <c r="DD147" s="1008"/>
      <c r="DE147" s="1008"/>
      <c r="DF147" s="1008"/>
      <c r="DG147" s="1008"/>
      <c r="DH147" s="1008"/>
      <c r="DI147" s="1011">
        <f t="shared" si="115"/>
        <v>0.41186775733289549</v>
      </c>
      <c r="DJ147" s="1008">
        <f t="shared" si="155"/>
        <v>463500048</v>
      </c>
      <c r="DK147" s="1008"/>
      <c r="DL147" s="1008"/>
      <c r="DM147" s="1008"/>
      <c r="DN147" s="1008">
        <f t="shared" si="156"/>
        <v>387850497</v>
      </c>
      <c r="DO147" s="1008">
        <f t="shared" si="156"/>
        <v>0</v>
      </c>
      <c r="DP147" s="1008">
        <f t="shared" si="156"/>
        <v>0</v>
      </c>
      <c r="DQ147" s="1008">
        <f t="shared" si="156"/>
        <v>0</v>
      </c>
      <c r="DR147" s="1008"/>
      <c r="DS147" s="1008">
        <f t="shared" si="157"/>
        <v>0</v>
      </c>
      <c r="DT147" s="1008">
        <f t="shared" si="157"/>
        <v>0</v>
      </c>
      <c r="DU147" s="1008"/>
      <c r="DV147" s="1008">
        <f t="shared" si="158"/>
        <v>0</v>
      </c>
      <c r="DW147" s="1008">
        <f t="shared" si="158"/>
        <v>0</v>
      </c>
      <c r="DX147" s="1008">
        <f t="shared" si="158"/>
        <v>0</v>
      </c>
      <c r="DY147" s="1008">
        <f t="shared" si="159"/>
        <v>75649551</v>
      </c>
      <c r="DZ147" s="1008">
        <f t="shared" si="159"/>
        <v>0</v>
      </c>
      <c r="EA147" s="1008">
        <f t="shared" si="159"/>
        <v>0</v>
      </c>
      <c r="EB147" s="1008">
        <f t="shared" si="159"/>
        <v>0</v>
      </c>
      <c r="EC147" s="1008"/>
      <c r="ED147" s="1008">
        <f t="shared" si="160"/>
        <v>0</v>
      </c>
    </row>
    <row r="148" spans="1:134" ht="52.5" customHeight="1" x14ac:dyDescent="0.25">
      <c r="A148" s="1560"/>
      <c r="B148" s="989"/>
      <c r="C148" s="852" t="s">
        <v>4501</v>
      </c>
      <c r="D148" s="1019" t="s">
        <v>4745</v>
      </c>
      <c r="E148" s="995">
        <v>111</v>
      </c>
      <c r="F148" s="1120" t="s">
        <v>4482</v>
      </c>
      <c r="G148" s="1400"/>
      <c r="H148" s="1061">
        <f t="shared" si="143"/>
        <v>239600131</v>
      </c>
      <c r="I148" s="1061">
        <f t="shared" si="144"/>
        <v>999869</v>
      </c>
      <c r="J148" s="1575">
        <v>184</v>
      </c>
      <c r="K148" s="1578">
        <v>317</v>
      </c>
      <c r="L148" s="1283">
        <v>198</v>
      </c>
      <c r="M148" s="1115">
        <v>0</v>
      </c>
      <c r="N148" s="1115">
        <v>0</v>
      </c>
      <c r="O148" s="1115">
        <v>0</v>
      </c>
      <c r="P148" s="1115">
        <v>0</v>
      </c>
      <c r="Q148" s="1115">
        <v>0</v>
      </c>
      <c r="R148" s="1115">
        <v>0</v>
      </c>
      <c r="S148" s="1120"/>
      <c r="T148" s="1120"/>
      <c r="U148" s="1120"/>
      <c r="V148" s="1120"/>
      <c r="W148" s="1120"/>
      <c r="X148" s="1120"/>
      <c r="Y148" s="1008">
        <f t="shared" si="145"/>
        <v>240600000</v>
      </c>
      <c r="Z148" s="1008"/>
      <c r="AA148" s="1008"/>
      <c r="AB148" s="1008"/>
      <c r="AC148" s="1008">
        <f>540600000-300000000</f>
        <v>240600000</v>
      </c>
      <c r="AD148" s="1008"/>
      <c r="AE148" s="1008"/>
      <c r="AF148" s="1008"/>
      <c r="AG148" s="1008"/>
      <c r="AH148" s="1008"/>
      <c r="AI148" s="1008"/>
      <c r="AJ148" s="1008"/>
      <c r="AK148" s="1008"/>
      <c r="AL148" s="1008"/>
      <c r="AM148" s="1008"/>
      <c r="AN148" s="1008"/>
      <c r="AO148" s="1008"/>
      <c r="AP148" s="1008"/>
      <c r="AQ148" s="1008"/>
      <c r="AR148" s="1008"/>
      <c r="AS148" s="1008"/>
      <c r="AT148" s="984"/>
      <c r="AU148" s="1011">
        <f t="shared" si="103"/>
        <v>0.99584426849542806</v>
      </c>
      <c r="AV148" s="1008">
        <f t="shared" si="146"/>
        <v>239600131</v>
      </c>
      <c r="AW148" s="1008"/>
      <c r="AX148" s="1008"/>
      <c r="AY148" s="1008"/>
      <c r="AZ148" s="1008">
        <f>+'[17]SEPTIEMBRE 2015'!$M$152</f>
        <v>239600131</v>
      </c>
      <c r="BA148" s="1008"/>
      <c r="BB148" s="1008"/>
      <c r="BC148" s="1008"/>
      <c r="BD148" s="1008"/>
      <c r="BE148" s="1008"/>
      <c r="BF148" s="1008"/>
      <c r="BG148" s="1008"/>
      <c r="BH148" s="1008"/>
      <c r="BI148" s="1008"/>
      <c r="BJ148" s="1008"/>
      <c r="BK148" s="1008"/>
      <c r="BL148" s="1008"/>
      <c r="BM148" s="1008"/>
      <c r="BN148" s="1008"/>
      <c r="BO148" s="1008"/>
      <c r="BP148" s="1008"/>
      <c r="BQ148" s="1011">
        <f t="shared" si="105"/>
        <v>4.1557315045719356E-3</v>
      </c>
      <c r="BR148" s="1008">
        <f t="shared" si="147"/>
        <v>999869</v>
      </c>
      <c r="BS148" s="1008">
        <f t="shared" si="148"/>
        <v>0</v>
      </c>
      <c r="BT148" s="1008">
        <f t="shared" si="149"/>
        <v>0</v>
      </c>
      <c r="BU148" s="1008"/>
      <c r="BV148" s="1008">
        <f t="shared" si="150"/>
        <v>999869</v>
      </c>
      <c r="BW148" s="1008">
        <f t="shared" si="150"/>
        <v>0</v>
      </c>
      <c r="BX148" s="1008">
        <f t="shared" si="151"/>
        <v>0</v>
      </c>
      <c r="BY148" s="1008">
        <f t="shared" si="151"/>
        <v>0</v>
      </c>
      <c r="BZ148" s="1008"/>
      <c r="CA148" s="1008">
        <f t="shared" si="152"/>
        <v>0</v>
      </c>
      <c r="CB148" s="1008">
        <f t="shared" si="152"/>
        <v>0</v>
      </c>
      <c r="CC148" s="1008">
        <f t="shared" si="152"/>
        <v>0</v>
      </c>
      <c r="CD148" s="1008">
        <f t="shared" si="152"/>
        <v>0</v>
      </c>
      <c r="CE148" s="1008">
        <f t="shared" si="152"/>
        <v>0</v>
      </c>
      <c r="CF148" s="1008">
        <f t="shared" si="152"/>
        <v>0</v>
      </c>
      <c r="CG148" s="1008">
        <f t="shared" si="152"/>
        <v>0</v>
      </c>
      <c r="CH148" s="1008">
        <f t="shared" si="152"/>
        <v>0</v>
      </c>
      <c r="CI148" s="1008">
        <f t="shared" si="152"/>
        <v>0</v>
      </c>
      <c r="CJ148" s="1008"/>
      <c r="CK148" s="1008">
        <f t="shared" si="161"/>
        <v>0</v>
      </c>
      <c r="CL148" s="1008">
        <f t="shared" si="153"/>
        <v>0</v>
      </c>
      <c r="CM148" s="1011">
        <f t="shared" si="113"/>
        <v>0.99584426849542806</v>
      </c>
      <c r="CN148" s="1008">
        <f t="shared" si="154"/>
        <v>239600131</v>
      </c>
      <c r="CO148" s="1008"/>
      <c r="CP148" s="1008"/>
      <c r="CQ148" s="1008"/>
      <c r="CR148" s="1008">
        <f>+'[15]JULIO 2015'!$H$138</f>
        <v>239600131</v>
      </c>
      <c r="CS148" s="1008"/>
      <c r="CT148" s="1008"/>
      <c r="CU148" s="1008"/>
      <c r="CV148" s="1008"/>
      <c r="CW148" s="1008"/>
      <c r="CX148" s="1008"/>
      <c r="CY148" s="1008"/>
      <c r="CZ148" s="1008"/>
      <c r="DA148" s="1008"/>
      <c r="DB148" s="1008"/>
      <c r="DC148" s="1008"/>
      <c r="DD148" s="1008"/>
      <c r="DE148" s="1008"/>
      <c r="DF148" s="1008"/>
      <c r="DG148" s="1008"/>
      <c r="DH148" s="1008"/>
      <c r="DI148" s="1011">
        <f t="shared" si="115"/>
        <v>4.1557315045719356E-3</v>
      </c>
      <c r="DJ148" s="1008">
        <f t="shared" si="155"/>
        <v>999869</v>
      </c>
      <c r="DK148" s="1008"/>
      <c r="DL148" s="1008"/>
      <c r="DM148" s="1008"/>
      <c r="DN148" s="1008">
        <f t="shared" si="156"/>
        <v>999869</v>
      </c>
      <c r="DO148" s="1008">
        <f t="shared" si="156"/>
        <v>0</v>
      </c>
      <c r="DP148" s="1008">
        <f t="shared" si="156"/>
        <v>0</v>
      </c>
      <c r="DQ148" s="1008">
        <f t="shared" si="156"/>
        <v>0</v>
      </c>
      <c r="DR148" s="1008"/>
      <c r="DS148" s="1008">
        <f t="shared" si="157"/>
        <v>0</v>
      </c>
      <c r="DT148" s="1008">
        <f t="shared" si="157"/>
        <v>0</v>
      </c>
      <c r="DU148" s="1008"/>
      <c r="DV148" s="1008">
        <f t="shared" si="158"/>
        <v>0</v>
      </c>
      <c r="DW148" s="1008">
        <f t="shared" si="158"/>
        <v>0</v>
      </c>
      <c r="DX148" s="1008">
        <f t="shared" si="158"/>
        <v>0</v>
      </c>
      <c r="DY148" s="1008">
        <f t="shared" si="159"/>
        <v>0</v>
      </c>
      <c r="DZ148" s="1008">
        <f t="shared" si="159"/>
        <v>0</v>
      </c>
      <c r="EA148" s="1008">
        <f t="shared" si="159"/>
        <v>0</v>
      </c>
      <c r="EB148" s="1008">
        <f t="shared" si="159"/>
        <v>0</v>
      </c>
      <c r="EC148" s="1008"/>
      <c r="ED148" s="1008">
        <f t="shared" si="160"/>
        <v>0</v>
      </c>
    </row>
    <row r="149" spans="1:134" s="203" customFormat="1" ht="61.5" customHeight="1" x14ac:dyDescent="0.25">
      <c r="A149" s="1560"/>
      <c r="B149" s="989"/>
      <c r="C149" s="1081" t="s">
        <v>4502</v>
      </c>
      <c r="D149" s="1019" t="s">
        <v>4484</v>
      </c>
      <c r="E149" s="997">
        <v>111</v>
      </c>
      <c r="F149" s="1120" t="s">
        <v>4482</v>
      </c>
      <c r="G149" s="1400"/>
      <c r="H149" s="1061">
        <f t="shared" si="143"/>
        <v>0</v>
      </c>
      <c r="I149" s="1061">
        <f t="shared" si="144"/>
        <v>0</v>
      </c>
      <c r="J149" s="1577"/>
      <c r="K149" s="1580"/>
      <c r="L149" s="1284"/>
      <c r="M149" s="1075">
        <v>0</v>
      </c>
      <c r="N149" s="1075">
        <v>0</v>
      </c>
      <c r="O149" s="1075">
        <v>0</v>
      </c>
      <c r="P149" s="1075"/>
      <c r="Q149" s="1075"/>
      <c r="R149" s="1075"/>
      <c r="S149" s="1120"/>
      <c r="T149" s="1120"/>
      <c r="U149" s="1120"/>
      <c r="V149" s="1120"/>
      <c r="W149" s="1120"/>
      <c r="X149" s="1120"/>
      <c r="Y149" s="1067">
        <f t="shared" si="145"/>
        <v>0</v>
      </c>
      <c r="Z149" s="1067"/>
      <c r="AA149" s="1067"/>
      <c r="AB149" s="1067"/>
      <c r="AC149" s="1067">
        <f>2968000000-968000000-897000000-103000000-1000000000</f>
        <v>0</v>
      </c>
      <c r="AD149" s="1067"/>
      <c r="AE149" s="1067"/>
      <c r="AF149" s="1067"/>
      <c r="AG149" s="1067"/>
      <c r="AH149" s="1067"/>
      <c r="AI149" s="1067"/>
      <c r="AJ149" s="1067"/>
      <c r="AK149" s="1067"/>
      <c r="AL149" s="1067"/>
      <c r="AM149" s="1067"/>
      <c r="AN149" s="1067"/>
      <c r="AO149" s="1067"/>
      <c r="AP149" s="1067"/>
      <c r="AQ149" s="1067"/>
      <c r="AR149" s="1067"/>
      <c r="AS149" s="1067"/>
      <c r="AT149" s="1089"/>
      <c r="AU149" s="1082" t="e">
        <f t="shared" si="103"/>
        <v>#DIV/0!</v>
      </c>
      <c r="AV149" s="1067">
        <f t="shared" si="146"/>
        <v>0</v>
      </c>
      <c r="AW149" s="1067"/>
      <c r="AX149" s="1067"/>
      <c r="AY149" s="1067"/>
      <c r="AZ149" s="1067"/>
      <c r="BA149" s="1067"/>
      <c r="BB149" s="1067"/>
      <c r="BC149" s="1067"/>
      <c r="BD149" s="1067"/>
      <c r="BE149" s="1067"/>
      <c r="BF149" s="1067"/>
      <c r="BG149" s="1067"/>
      <c r="BH149" s="1067"/>
      <c r="BI149" s="1067"/>
      <c r="BJ149" s="1067"/>
      <c r="BK149" s="1067"/>
      <c r="BL149" s="1067"/>
      <c r="BM149" s="1067"/>
      <c r="BN149" s="1067"/>
      <c r="BO149" s="1067"/>
      <c r="BP149" s="1067"/>
      <c r="BQ149" s="1082" t="e">
        <f t="shared" si="105"/>
        <v>#DIV/0!</v>
      </c>
      <c r="BR149" s="1067">
        <f t="shared" si="147"/>
        <v>0</v>
      </c>
      <c r="BS149" s="1067">
        <f t="shared" si="148"/>
        <v>0</v>
      </c>
      <c r="BT149" s="1067">
        <f t="shared" si="149"/>
        <v>0</v>
      </c>
      <c r="BU149" s="1067"/>
      <c r="BV149" s="1067">
        <f t="shared" si="150"/>
        <v>0</v>
      </c>
      <c r="BW149" s="1067">
        <f t="shared" si="150"/>
        <v>0</v>
      </c>
      <c r="BX149" s="1067">
        <f t="shared" si="151"/>
        <v>0</v>
      </c>
      <c r="BY149" s="1067">
        <f t="shared" si="151"/>
        <v>0</v>
      </c>
      <c r="BZ149" s="1067"/>
      <c r="CA149" s="1067">
        <f t="shared" si="152"/>
        <v>0</v>
      </c>
      <c r="CB149" s="1067">
        <f t="shared" si="152"/>
        <v>0</v>
      </c>
      <c r="CC149" s="1067">
        <f t="shared" si="152"/>
        <v>0</v>
      </c>
      <c r="CD149" s="1067">
        <f t="shared" si="152"/>
        <v>0</v>
      </c>
      <c r="CE149" s="1067">
        <f t="shared" si="152"/>
        <v>0</v>
      </c>
      <c r="CF149" s="1067">
        <f t="shared" si="152"/>
        <v>0</v>
      </c>
      <c r="CG149" s="1067">
        <f t="shared" si="152"/>
        <v>0</v>
      </c>
      <c r="CH149" s="1067">
        <f t="shared" si="152"/>
        <v>0</v>
      </c>
      <c r="CI149" s="1067">
        <f t="shared" si="152"/>
        <v>0</v>
      </c>
      <c r="CJ149" s="1067"/>
      <c r="CK149" s="1067">
        <f t="shared" si="161"/>
        <v>0</v>
      </c>
      <c r="CL149" s="1067">
        <f t="shared" si="153"/>
        <v>0</v>
      </c>
      <c r="CM149" s="1082" t="e">
        <f t="shared" si="113"/>
        <v>#DIV/0!</v>
      </c>
      <c r="CN149" s="1067">
        <f t="shared" si="154"/>
        <v>0</v>
      </c>
      <c r="CO149" s="1067"/>
      <c r="CP149" s="1067"/>
      <c r="CQ149" s="1067"/>
      <c r="CR149" s="1067"/>
      <c r="CS149" s="1067"/>
      <c r="CT149" s="1067"/>
      <c r="CU149" s="1067"/>
      <c r="CV149" s="1067"/>
      <c r="CW149" s="1067"/>
      <c r="CX149" s="1067"/>
      <c r="CY149" s="1067"/>
      <c r="CZ149" s="1067"/>
      <c r="DA149" s="1067"/>
      <c r="DB149" s="1067"/>
      <c r="DC149" s="1067"/>
      <c r="DD149" s="1067"/>
      <c r="DE149" s="1067"/>
      <c r="DF149" s="1067"/>
      <c r="DG149" s="1067"/>
      <c r="DH149" s="1067"/>
      <c r="DI149" s="1082" t="e">
        <f t="shared" si="115"/>
        <v>#DIV/0!</v>
      </c>
      <c r="DJ149" s="1067">
        <f t="shared" si="155"/>
        <v>0</v>
      </c>
      <c r="DK149" s="1067"/>
      <c r="DL149" s="1067"/>
      <c r="DM149" s="1067"/>
      <c r="DN149" s="1067">
        <f t="shared" si="156"/>
        <v>0</v>
      </c>
      <c r="DO149" s="1067">
        <f t="shared" si="156"/>
        <v>0</v>
      </c>
      <c r="DP149" s="1067">
        <f t="shared" si="156"/>
        <v>0</v>
      </c>
      <c r="DQ149" s="1067">
        <f t="shared" si="156"/>
        <v>0</v>
      </c>
      <c r="DR149" s="1067"/>
      <c r="DS149" s="1067">
        <f t="shared" si="157"/>
        <v>0</v>
      </c>
      <c r="DT149" s="1067">
        <f t="shared" si="157"/>
        <v>0</v>
      </c>
      <c r="DU149" s="1067"/>
      <c r="DV149" s="1067">
        <f t="shared" si="158"/>
        <v>0</v>
      </c>
      <c r="DW149" s="1067">
        <f t="shared" si="158"/>
        <v>0</v>
      </c>
      <c r="DX149" s="1067">
        <f t="shared" si="158"/>
        <v>0</v>
      </c>
      <c r="DY149" s="1067">
        <f t="shared" si="159"/>
        <v>0</v>
      </c>
      <c r="DZ149" s="1067">
        <f t="shared" si="159"/>
        <v>0</v>
      </c>
      <c r="EA149" s="1067">
        <f t="shared" si="159"/>
        <v>0</v>
      </c>
      <c r="EB149" s="1067">
        <f t="shared" si="159"/>
        <v>0</v>
      </c>
      <c r="EC149" s="1067"/>
      <c r="ED149" s="1067">
        <f t="shared" si="160"/>
        <v>0</v>
      </c>
    </row>
    <row r="150" spans="1:134" ht="64.5" customHeight="1" x14ac:dyDescent="0.25">
      <c r="A150" s="1560"/>
      <c r="B150" s="989"/>
      <c r="C150" s="852" t="s">
        <v>4503</v>
      </c>
      <c r="D150" s="1019" t="s">
        <v>4483</v>
      </c>
      <c r="E150" s="995">
        <v>111</v>
      </c>
      <c r="F150" s="1120" t="s">
        <v>4742</v>
      </c>
      <c r="G150" s="1400"/>
      <c r="H150" s="1061">
        <f t="shared" si="143"/>
        <v>55483385</v>
      </c>
      <c r="I150" s="1061">
        <f t="shared" si="144"/>
        <v>16631615</v>
      </c>
      <c r="J150" s="1399">
        <v>3</v>
      </c>
      <c r="K150" s="1283" t="s">
        <v>4928</v>
      </c>
      <c r="L150" s="1283">
        <v>3</v>
      </c>
      <c r="M150" s="1091"/>
      <c r="N150" s="1091"/>
      <c r="O150" s="1091"/>
      <c r="P150" s="1115">
        <v>0</v>
      </c>
      <c r="Q150" s="1115">
        <v>0</v>
      </c>
      <c r="R150" s="1115">
        <v>0</v>
      </c>
      <c r="S150" s="1120"/>
      <c r="T150" s="1120"/>
      <c r="U150" s="1120"/>
      <c r="V150" s="1120"/>
      <c r="W150" s="1120"/>
      <c r="X150" s="1120"/>
      <c r="Y150" s="1008">
        <f t="shared" si="145"/>
        <v>72115000</v>
      </c>
      <c r="Z150" s="1008"/>
      <c r="AA150" s="1008"/>
      <c r="AB150" s="1008"/>
      <c r="AC150" s="1008"/>
      <c r="AD150" s="1008"/>
      <c r="AE150" s="1008"/>
      <c r="AF150" s="1008"/>
      <c r="AG150" s="1008"/>
      <c r="AH150" s="1008"/>
      <c r="AI150" s="1008"/>
      <c r="AJ150" s="1008"/>
      <c r="AK150" s="1008"/>
      <c r="AL150" s="1008"/>
      <c r="AM150" s="1008"/>
      <c r="AN150" s="1008"/>
      <c r="AO150" s="1008"/>
      <c r="AP150" s="1008"/>
      <c r="AQ150" s="1008"/>
      <c r="AR150" s="1008"/>
      <c r="AS150" s="1008">
        <f>587519551+2000000+10000000+37000000-597519551+46500000-13385000</f>
        <v>72115000</v>
      </c>
      <c r="AT150" s="984"/>
      <c r="AU150" s="1011">
        <f t="shared" si="103"/>
        <v>1</v>
      </c>
      <c r="AV150" s="1008">
        <f t="shared" si="146"/>
        <v>72115000</v>
      </c>
      <c r="AW150" s="1008"/>
      <c r="AX150" s="1008"/>
      <c r="AY150" s="1008"/>
      <c r="AZ150" s="1008"/>
      <c r="BA150" s="1008"/>
      <c r="BB150" s="1008"/>
      <c r="BC150" s="1008"/>
      <c r="BD150" s="1008"/>
      <c r="BE150" s="1008"/>
      <c r="BF150" s="1008"/>
      <c r="BG150" s="1008"/>
      <c r="BH150" s="1008"/>
      <c r="BI150" s="1008"/>
      <c r="BJ150" s="1008"/>
      <c r="BK150" s="1008"/>
      <c r="BL150" s="1008"/>
      <c r="BM150" s="1008"/>
      <c r="BN150" s="1008"/>
      <c r="BO150" s="1008"/>
      <c r="BP150" s="1008">
        <f>+'[16]AGOSTO 2015'!$G$156</f>
        <v>72115000</v>
      </c>
      <c r="BQ150" s="1011">
        <f t="shared" si="105"/>
        <v>0</v>
      </c>
      <c r="BR150" s="1008">
        <f t="shared" si="147"/>
        <v>0</v>
      </c>
      <c r="BS150" s="1008">
        <f t="shared" si="148"/>
        <v>0</v>
      </c>
      <c r="BT150" s="1008">
        <f t="shared" si="149"/>
        <v>0</v>
      </c>
      <c r="BU150" s="1008"/>
      <c r="BV150" s="1008">
        <f t="shared" si="150"/>
        <v>0</v>
      </c>
      <c r="BW150" s="1008">
        <f t="shared" si="150"/>
        <v>0</v>
      </c>
      <c r="BX150" s="1008">
        <f t="shared" si="151"/>
        <v>0</v>
      </c>
      <c r="BY150" s="1008">
        <f t="shared" si="151"/>
        <v>0</v>
      </c>
      <c r="BZ150" s="1008"/>
      <c r="CA150" s="1008">
        <f t="shared" si="152"/>
        <v>0</v>
      </c>
      <c r="CB150" s="1008">
        <f t="shared" si="152"/>
        <v>0</v>
      </c>
      <c r="CC150" s="1008">
        <f t="shared" si="152"/>
        <v>0</v>
      </c>
      <c r="CD150" s="1008">
        <f t="shared" si="152"/>
        <v>0</v>
      </c>
      <c r="CE150" s="1008">
        <f t="shared" si="152"/>
        <v>0</v>
      </c>
      <c r="CF150" s="1008">
        <f t="shared" si="152"/>
        <v>0</v>
      </c>
      <c r="CG150" s="1008">
        <f t="shared" si="152"/>
        <v>0</v>
      </c>
      <c r="CH150" s="1008">
        <f t="shared" si="152"/>
        <v>0</v>
      </c>
      <c r="CI150" s="1008">
        <f t="shared" si="152"/>
        <v>0</v>
      </c>
      <c r="CJ150" s="1008"/>
      <c r="CK150" s="1008">
        <f t="shared" si="161"/>
        <v>0</v>
      </c>
      <c r="CL150" s="1008">
        <f t="shared" si="153"/>
        <v>0</v>
      </c>
      <c r="CM150" s="1011">
        <f t="shared" si="113"/>
        <v>0.7693737086597795</v>
      </c>
      <c r="CN150" s="1008">
        <f t="shared" si="154"/>
        <v>55483385</v>
      </c>
      <c r="CO150" s="1008"/>
      <c r="CP150" s="1008"/>
      <c r="CQ150" s="1008"/>
      <c r="CR150" s="1008"/>
      <c r="CS150" s="1008"/>
      <c r="CT150" s="1008"/>
      <c r="CU150" s="1008"/>
      <c r="CV150" s="1008"/>
      <c r="CW150" s="1008"/>
      <c r="CX150" s="1008"/>
      <c r="CY150" s="1008"/>
      <c r="CZ150" s="1008"/>
      <c r="DA150" s="1008"/>
      <c r="DB150" s="1008"/>
      <c r="DC150" s="1008"/>
      <c r="DD150" s="1008"/>
      <c r="DE150" s="1008"/>
      <c r="DF150" s="1008"/>
      <c r="DG150" s="1008"/>
      <c r="DH150" s="1008">
        <f>+'[18]OCTUBRE 2015'!$H$167</f>
        <v>55483385</v>
      </c>
      <c r="DI150" s="1011">
        <f t="shared" si="115"/>
        <v>0.2306262913402205</v>
      </c>
      <c r="DJ150" s="1008">
        <f t="shared" si="155"/>
        <v>16631615</v>
      </c>
      <c r="DK150" s="1008"/>
      <c r="DL150" s="1008"/>
      <c r="DM150" s="1008"/>
      <c r="DN150" s="1008">
        <f t="shared" si="156"/>
        <v>0</v>
      </c>
      <c r="DO150" s="1008">
        <f t="shared" si="156"/>
        <v>0</v>
      </c>
      <c r="DP150" s="1008">
        <f t="shared" si="156"/>
        <v>0</v>
      </c>
      <c r="DQ150" s="1008">
        <f t="shared" si="156"/>
        <v>0</v>
      </c>
      <c r="DR150" s="1008"/>
      <c r="DS150" s="1008">
        <f t="shared" si="157"/>
        <v>0</v>
      </c>
      <c r="DT150" s="1008">
        <f t="shared" si="157"/>
        <v>0</v>
      </c>
      <c r="DU150" s="1008"/>
      <c r="DV150" s="1008">
        <f t="shared" si="158"/>
        <v>0</v>
      </c>
      <c r="DW150" s="1008">
        <f t="shared" si="158"/>
        <v>0</v>
      </c>
      <c r="DX150" s="1008">
        <f t="shared" si="158"/>
        <v>0</v>
      </c>
      <c r="DY150" s="1008">
        <f t="shared" si="159"/>
        <v>0</v>
      </c>
      <c r="DZ150" s="1008">
        <f t="shared" si="159"/>
        <v>0</v>
      </c>
      <c r="EA150" s="1008">
        <f t="shared" si="159"/>
        <v>0</v>
      </c>
      <c r="EB150" s="1008">
        <f t="shared" si="159"/>
        <v>0</v>
      </c>
      <c r="EC150" s="1008"/>
      <c r="ED150" s="1008">
        <f t="shared" si="160"/>
        <v>16631615</v>
      </c>
    </row>
    <row r="151" spans="1:134" s="203" customFormat="1" ht="33.75" customHeight="1" x14ac:dyDescent="0.25">
      <c r="A151" s="1560"/>
      <c r="B151" s="989"/>
      <c r="C151" s="1081" t="s">
        <v>4710</v>
      </c>
      <c r="D151" s="1019" t="s">
        <v>4711</v>
      </c>
      <c r="E151" s="997">
        <v>111</v>
      </c>
      <c r="F151" s="1120" t="s">
        <v>4482</v>
      </c>
      <c r="G151" s="1400"/>
      <c r="H151" s="1061">
        <f t="shared" si="143"/>
        <v>0</v>
      </c>
      <c r="I151" s="1061">
        <f t="shared" si="144"/>
        <v>0</v>
      </c>
      <c r="J151" s="1401"/>
      <c r="K151" s="1284"/>
      <c r="L151" s="1284"/>
      <c r="M151" s="1075">
        <v>0</v>
      </c>
      <c r="N151" s="1075">
        <v>0</v>
      </c>
      <c r="O151" s="1075">
        <v>0</v>
      </c>
      <c r="P151" s="1075"/>
      <c r="Q151" s="1075"/>
      <c r="R151" s="1075"/>
      <c r="S151" s="1120"/>
      <c r="T151" s="1120"/>
      <c r="U151" s="1120"/>
      <c r="V151" s="1120"/>
      <c r="W151" s="1120"/>
      <c r="X151" s="1120"/>
      <c r="Y151" s="1067">
        <f t="shared" si="145"/>
        <v>0</v>
      </c>
      <c r="Z151" s="1067"/>
      <c r="AA151" s="1067"/>
      <c r="AB151" s="1067"/>
      <c r="AC151" s="1067">
        <f>400000000-400000000</f>
        <v>0</v>
      </c>
      <c r="AD151" s="1067"/>
      <c r="AE151" s="1067"/>
      <c r="AF151" s="1067"/>
      <c r="AG151" s="1067"/>
      <c r="AH151" s="1067"/>
      <c r="AI151" s="1067"/>
      <c r="AJ151" s="1067"/>
      <c r="AK151" s="1067"/>
      <c r="AL151" s="1067"/>
      <c r="AM151" s="1067"/>
      <c r="AN151" s="1067"/>
      <c r="AO151" s="1067"/>
      <c r="AP151" s="1067"/>
      <c r="AQ151" s="1067"/>
      <c r="AR151" s="1067"/>
      <c r="AS151" s="1067"/>
      <c r="AT151" s="1090"/>
      <c r="AU151" s="1082">
        <v>0</v>
      </c>
      <c r="AV151" s="1067">
        <f t="shared" si="146"/>
        <v>0</v>
      </c>
      <c r="AW151" s="1067"/>
      <c r="AX151" s="1067"/>
      <c r="AY151" s="1067"/>
      <c r="AZ151" s="1067"/>
      <c r="BA151" s="1067"/>
      <c r="BB151" s="1067"/>
      <c r="BC151" s="1067"/>
      <c r="BD151" s="1067"/>
      <c r="BE151" s="1067"/>
      <c r="BF151" s="1067"/>
      <c r="BG151" s="1067"/>
      <c r="BH151" s="1067"/>
      <c r="BI151" s="1067"/>
      <c r="BJ151" s="1067"/>
      <c r="BK151" s="1067"/>
      <c r="BL151" s="1067"/>
      <c r="BM151" s="1067"/>
      <c r="BN151" s="1067"/>
      <c r="BO151" s="1067"/>
      <c r="BP151" s="1067"/>
      <c r="BQ151" s="1082">
        <v>0</v>
      </c>
      <c r="BR151" s="1067">
        <f t="shared" si="147"/>
        <v>0</v>
      </c>
      <c r="BS151" s="1067"/>
      <c r="BT151" s="1067"/>
      <c r="BU151" s="1067"/>
      <c r="BV151" s="1067">
        <f t="shared" ref="BV151:BW194" si="162">AC151-AZ151</f>
        <v>0</v>
      </c>
      <c r="BW151" s="1067"/>
      <c r="BX151" s="1067"/>
      <c r="BY151" s="1067"/>
      <c r="BZ151" s="1067"/>
      <c r="CA151" s="1067"/>
      <c r="CB151" s="1067"/>
      <c r="CC151" s="1067"/>
      <c r="CD151" s="1067"/>
      <c r="CE151" s="1067"/>
      <c r="CF151" s="1067"/>
      <c r="CG151" s="1067"/>
      <c r="CH151" s="1067"/>
      <c r="CI151" s="1067"/>
      <c r="CJ151" s="1067"/>
      <c r="CK151" s="1067"/>
      <c r="CL151" s="1067"/>
      <c r="CM151" s="1082">
        <v>0</v>
      </c>
      <c r="CN151" s="1067">
        <f t="shared" si="154"/>
        <v>0</v>
      </c>
      <c r="CO151" s="1067"/>
      <c r="CP151" s="1067"/>
      <c r="CQ151" s="1067"/>
      <c r="CR151" s="1067"/>
      <c r="CS151" s="1067"/>
      <c r="CT151" s="1067"/>
      <c r="CU151" s="1067"/>
      <c r="CV151" s="1067"/>
      <c r="CW151" s="1067"/>
      <c r="CX151" s="1067"/>
      <c r="CY151" s="1067"/>
      <c r="CZ151" s="1067"/>
      <c r="DA151" s="1067"/>
      <c r="DB151" s="1067"/>
      <c r="DC151" s="1067"/>
      <c r="DD151" s="1067"/>
      <c r="DE151" s="1067"/>
      <c r="DF151" s="1067"/>
      <c r="DG151" s="1067"/>
      <c r="DH151" s="1067"/>
      <c r="DI151" s="1082">
        <v>0</v>
      </c>
      <c r="DJ151" s="1067">
        <f t="shared" si="155"/>
        <v>0</v>
      </c>
      <c r="DK151" s="1067"/>
      <c r="DL151" s="1067"/>
      <c r="DM151" s="1067"/>
      <c r="DN151" s="1067">
        <f t="shared" ref="DN151:DQ194" si="163">AC151-CR151</f>
        <v>0</v>
      </c>
      <c r="DO151" s="1067"/>
      <c r="DP151" s="1067"/>
      <c r="DQ151" s="1067"/>
      <c r="DR151" s="1067"/>
      <c r="DS151" s="1067"/>
      <c r="DT151" s="1067"/>
      <c r="DU151" s="1067"/>
      <c r="DV151" s="1067"/>
      <c r="DW151" s="1067"/>
      <c r="DX151" s="1067"/>
      <c r="DY151" s="1067"/>
      <c r="DZ151" s="1067"/>
      <c r="EA151" s="1067"/>
      <c r="EB151" s="1067"/>
      <c r="EC151" s="1067"/>
      <c r="ED151" s="1067"/>
    </row>
    <row r="152" spans="1:134" ht="64.5" customHeight="1" x14ac:dyDescent="0.25">
      <c r="A152" s="1560"/>
      <c r="B152" s="989" t="s">
        <v>4450</v>
      </c>
      <c r="C152" s="852" t="s">
        <v>4513</v>
      </c>
      <c r="D152" s="1019" t="s">
        <v>4549</v>
      </c>
      <c r="E152" s="995">
        <v>211</v>
      </c>
      <c r="F152" s="1120" t="s">
        <v>4482</v>
      </c>
      <c r="G152" s="1400"/>
      <c r="H152" s="1061">
        <f t="shared" si="143"/>
        <v>189556618</v>
      </c>
      <c r="I152" s="1061">
        <f t="shared" si="144"/>
        <v>0</v>
      </c>
      <c r="J152" s="1399">
        <v>117</v>
      </c>
      <c r="K152" s="1283">
        <v>127</v>
      </c>
      <c r="L152" s="1283">
        <v>118</v>
      </c>
      <c r="M152" s="1115">
        <v>0</v>
      </c>
      <c r="N152" s="1115">
        <v>0</v>
      </c>
      <c r="O152" s="1115">
        <v>0</v>
      </c>
      <c r="P152" s="1115">
        <v>100</v>
      </c>
      <c r="Q152" s="1115">
        <v>100</v>
      </c>
      <c r="R152" s="1115">
        <v>100</v>
      </c>
      <c r="S152" s="1120"/>
      <c r="T152" s="1120"/>
      <c r="U152" s="1120"/>
      <c r="V152" s="1120"/>
      <c r="W152" s="1120"/>
      <c r="X152" s="1120"/>
      <c r="Y152" s="1008">
        <f t="shared" si="145"/>
        <v>189556618</v>
      </c>
      <c r="Z152" s="1008"/>
      <c r="AA152" s="1008"/>
      <c r="AB152" s="1008"/>
      <c r="AC152" s="1008">
        <f>500000000-100000000-210443382</f>
        <v>189556618</v>
      </c>
      <c r="AD152" s="1008"/>
      <c r="AE152" s="1008"/>
      <c r="AF152" s="1008"/>
      <c r="AG152" s="1008"/>
      <c r="AH152" s="1008"/>
      <c r="AI152" s="1008"/>
      <c r="AJ152" s="1008"/>
      <c r="AK152" s="1008"/>
      <c r="AL152" s="1008"/>
      <c r="AM152" s="1008"/>
      <c r="AN152" s="1008"/>
      <c r="AO152" s="1008"/>
      <c r="AP152" s="1008"/>
      <c r="AQ152" s="1008"/>
      <c r="AR152" s="1008"/>
      <c r="AS152" s="1008"/>
      <c r="AU152" s="1011">
        <f t="shared" si="103"/>
        <v>1</v>
      </c>
      <c r="AV152" s="1008">
        <f t="shared" si="146"/>
        <v>189556618</v>
      </c>
      <c r="AW152" s="1008"/>
      <c r="AX152" s="1008"/>
      <c r="AY152" s="1008"/>
      <c r="AZ152" s="1008">
        <v>189556618</v>
      </c>
      <c r="BA152" s="1008"/>
      <c r="BB152" s="1008"/>
      <c r="BC152" s="1008"/>
      <c r="BD152" s="1008"/>
      <c r="BE152" s="1008"/>
      <c r="BF152" s="1008"/>
      <c r="BG152" s="1008"/>
      <c r="BH152" s="1008"/>
      <c r="BI152" s="1008"/>
      <c r="BJ152" s="1008"/>
      <c r="BK152" s="1008"/>
      <c r="BL152" s="1008"/>
      <c r="BM152" s="1008"/>
      <c r="BN152" s="1008"/>
      <c r="BO152" s="1008"/>
      <c r="BP152" s="1008"/>
      <c r="BQ152" s="1011">
        <f t="shared" si="105"/>
        <v>0</v>
      </c>
      <c r="BR152" s="1008">
        <f t="shared" si="147"/>
        <v>0</v>
      </c>
      <c r="BS152" s="1008">
        <f t="shared" ref="BS152:BS173" si="164">+Z152-AW152</f>
        <v>0</v>
      </c>
      <c r="BT152" s="1008">
        <f t="shared" ref="BT152:BT173" si="165">AA152-AX152</f>
        <v>0</v>
      </c>
      <c r="BU152" s="1008"/>
      <c r="BV152" s="1008">
        <f t="shared" si="162"/>
        <v>0</v>
      </c>
      <c r="BW152" s="1008">
        <f t="shared" si="162"/>
        <v>0</v>
      </c>
      <c r="BX152" s="1008">
        <f t="shared" ref="BX152:BY173" si="166">+AE152-BB152</f>
        <v>0</v>
      </c>
      <c r="BY152" s="1008">
        <f t="shared" si="166"/>
        <v>0</v>
      </c>
      <c r="BZ152" s="1008"/>
      <c r="CA152" s="1008">
        <f t="shared" ref="CA152:CI173" si="167">+AH152-BE152</f>
        <v>0</v>
      </c>
      <c r="CB152" s="1008">
        <f t="shared" si="167"/>
        <v>0</v>
      </c>
      <c r="CC152" s="1008">
        <f t="shared" si="167"/>
        <v>0</v>
      </c>
      <c r="CD152" s="1008">
        <f t="shared" si="167"/>
        <v>0</v>
      </c>
      <c r="CE152" s="1008">
        <f t="shared" si="167"/>
        <v>0</v>
      </c>
      <c r="CF152" s="1008">
        <f t="shared" si="167"/>
        <v>0</v>
      </c>
      <c r="CG152" s="1008">
        <f t="shared" si="167"/>
        <v>0</v>
      </c>
      <c r="CH152" s="1008">
        <f t="shared" si="167"/>
        <v>0</v>
      </c>
      <c r="CI152" s="1008">
        <f t="shared" si="167"/>
        <v>0</v>
      </c>
      <c r="CJ152" s="1008"/>
      <c r="CK152" s="1008">
        <f t="shared" ref="CK152:CL173" si="168">+AR152-BO152</f>
        <v>0</v>
      </c>
      <c r="CL152" s="1008">
        <f t="shared" si="168"/>
        <v>0</v>
      </c>
      <c r="CM152" s="1011">
        <f t="shared" si="113"/>
        <v>1</v>
      </c>
      <c r="CN152" s="1008">
        <f t="shared" si="154"/>
        <v>189556618</v>
      </c>
      <c r="CO152" s="1008"/>
      <c r="CP152" s="1008"/>
      <c r="CQ152" s="1008"/>
      <c r="CR152" s="1008">
        <f>+'[14]JUNIO 2015'!$H$171</f>
        <v>189556618</v>
      </c>
      <c r="CS152" s="1008"/>
      <c r="CT152" s="1008"/>
      <c r="CU152" s="1008"/>
      <c r="CV152" s="1008"/>
      <c r="CW152" s="1008"/>
      <c r="CX152" s="1008"/>
      <c r="CY152" s="1008"/>
      <c r="CZ152" s="1008"/>
      <c r="DA152" s="1008"/>
      <c r="DB152" s="1008"/>
      <c r="DC152" s="1008"/>
      <c r="DD152" s="1008"/>
      <c r="DE152" s="1008"/>
      <c r="DF152" s="1008"/>
      <c r="DG152" s="1008"/>
      <c r="DH152" s="1008"/>
      <c r="DI152" s="1011">
        <f t="shared" si="115"/>
        <v>0</v>
      </c>
      <c r="DJ152" s="1008">
        <f t="shared" si="155"/>
        <v>0</v>
      </c>
      <c r="DK152" s="1008"/>
      <c r="DL152" s="1008"/>
      <c r="DM152" s="1008"/>
      <c r="DN152" s="1008">
        <f t="shared" si="163"/>
        <v>0</v>
      </c>
      <c r="DO152" s="1008">
        <f t="shared" si="163"/>
        <v>0</v>
      </c>
      <c r="DP152" s="1008">
        <f t="shared" si="163"/>
        <v>0</v>
      </c>
      <c r="DQ152" s="1008">
        <f t="shared" si="163"/>
        <v>0</v>
      </c>
      <c r="DR152" s="1008"/>
      <c r="DS152" s="1008">
        <f t="shared" ref="DS152:DT173" si="169">+AH152-CW152</f>
        <v>0</v>
      </c>
      <c r="DT152" s="1008">
        <f t="shared" si="169"/>
        <v>0</v>
      </c>
      <c r="DU152" s="1008"/>
      <c r="DV152" s="1008">
        <f t="shared" ref="DV152:DX173" si="170">AK152-CZ152</f>
        <v>0</v>
      </c>
      <c r="DW152" s="1008">
        <f t="shared" si="170"/>
        <v>0</v>
      </c>
      <c r="DX152" s="1008">
        <f t="shared" si="170"/>
        <v>0</v>
      </c>
      <c r="DY152" s="1008">
        <f t="shared" ref="DY152:EC173" si="171">+AN152-DC152</f>
        <v>0</v>
      </c>
      <c r="DZ152" s="1008">
        <f t="shared" si="171"/>
        <v>0</v>
      </c>
      <c r="EA152" s="1008">
        <f t="shared" si="171"/>
        <v>0</v>
      </c>
      <c r="EB152" s="1008">
        <f t="shared" si="171"/>
        <v>0</v>
      </c>
      <c r="EC152" s="1008"/>
      <c r="ED152" s="1008">
        <f t="shared" ref="ED152:ED173" si="172">+AS152-DH152</f>
        <v>0</v>
      </c>
    </row>
    <row r="153" spans="1:134" ht="48" customHeight="1" x14ac:dyDescent="0.25">
      <c r="A153" s="1560"/>
      <c r="B153" s="989"/>
      <c r="C153" s="852" t="s">
        <v>4514</v>
      </c>
      <c r="D153" s="1019" t="s">
        <v>4550</v>
      </c>
      <c r="E153" s="995">
        <v>211</v>
      </c>
      <c r="F153" s="1120" t="s">
        <v>4482</v>
      </c>
      <c r="G153" s="1400"/>
      <c r="H153" s="1061">
        <f t="shared" si="143"/>
        <v>48956036</v>
      </c>
      <c r="I153" s="1061">
        <f t="shared" si="144"/>
        <v>60887622</v>
      </c>
      <c r="J153" s="1400"/>
      <c r="K153" s="1573"/>
      <c r="L153" s="1573"/>
      <c r="M153" s="1115">
        <v>2</v>
      </c>
      <c r="N153" s="1115">
        <v>0</v>
      </c>
      <c r="O153" s="1115">
        <v>0</v>
      </c>
      <c r="P153" s="1115">
        <v>45</v>
      </c>
      <c r="Q153" s="1115">
        <v>35</v>
      </c>
      <c r="R153" s="1115">
        <v>16</v>
      </c>
      <c r="S153" s="1120"/>
      <c r="T153" s="1120"/>
      <c r="U153" s="1120"/>
      <c r="V153" s="1120"/>
      <c r="W153" s="1120"/>
      <c r="X153" s="1120"/>
      <c r="Y153" s="1008">
        <f t="shared" si="145"/>
        <v>109843658</v>
      </c>
      <c r="Z153" s="1008"/>
      <c r="AA153" s="1008"/>
      <c r="AB153" s="1008"/>
      <c r="AC153" s="1008">
        <f>498457340+300000000-790156342</f>
        <v>8300998</v>
      </c>
      <c r="AD153" s="1008"/>
      <c r="AE153" s="1008"/>
      <c r="AF153" s="1008"/>
      <c r="AG153" s="1008"/>
      <c r="AH153" s="1008"/>
      <c r="AI153" s="1008"/>
      <c r="AJ153" s="1008"/>
      <c r="AK153" s="1008">
        <v>101542660</v>
      </c>
      <c r="AL153" s="1008"/>
      <c r="AM153" s="1008"/>
      <c r="AN153" s="1008"/>
      <c r="AO153" s="1008"/>
      <c r="AP153" s="1008"/>
      <c r="AQ153" s="1008"/>
      <c r="AR153" s="1008"/>
      <c r="AS153" s="1008"/>
      <c r="AU153" s="1011">
        <f t="shared" si="103"/>
        <v>0.4456883254925833</v>
      </c>
      <c r="AV153" s="1008">
        <f t="shared" si="146"/>
        <v>48956036</v>
      </c>
      <c r="AW153" s="1008"/>
      <c r="AX153" s="1008"/>
      <c r="AY153" s="1008"/>
      <c r="AZ153" s="1008">
        <f>+'[14]JUNIO 2015'!$M$180</f>
        <v>8300998</v>
      </c>
      <c r="BA153" s="1008"/>
      <c r="BB153" s="1008"/>
      <c r="BC153" s="1008"/>
      <c r="BD153" s="1008"/>
      <c r="BE153" s="1008"/>
      <c r="BF153" s="1008"/>
      <c r="BG153" s="1008"/>
      <c r="BH153" s="1008">
        <f>+'[14]JUNIO 2015'!$U$180</f>
        <v>40655038</v>
      </c>
      <c r="BI153" s="1008"/>
      <c r="BJ153" s="1008"/>
      <c r="BK153" s="1008"/>
      <c r="BL153" s="1008"/>
      <c r="BM153" s="1008"/>
      <c r="BN153" s="1008"/>
      <c r="BO153" s="1008"/>
      <c r="BP153" s="1008"/>
      <c r="BQ153" s="1011">
        <f t="shared" si="105"/>
        <v>0.5543116745074167</v>
      </c>
      <c r="BR153" s="1008">
        <f t="shared" si="147"/>
        <v>60887622</v>
      </c>
      <c r="BS153" s="1008">
        <f t="shared" si="164"/>
        <v>0</v>
      </c>
      <c r="BT153" s="1008">
        <f t="shared" si="165"/>
        <v>0</v>
      </c>
      <c r="BU153" s="1008"/>
      <c r="BV153" s="1008">
        <f t="shared" si="162"/>
        <v>0</v>
      </c>
      <c r="BW153" s="1008">
        <f t="shared" si="162"/>
        <v>0</v>
      </c>
      <c r="BX153" s="1008">
        <f t="shared" si="166"/>
        <v>0</v>
      </c>
      <c r="BY153" s="1008">
        <f t="shared" si="166"/>
        <v>0</v>
      </c>
      <c r="BZ153" s="1008"/>
      <c r="CA153" s="1008">
        <f t="shared" si="167"/>
        <v>0</v>
      </c>
      <c r="CB153" s="1008">
        <f t="shared" si="167"/>
        <v>0</v>
      </c>
      <c r="CC153" s="1008">
        <f t="shared" si="167"/>
        <v>0</v>
      </c>
      <c r="CD153" s="1008">
        <f t="shared" si="167"/>
        <v>60887622</v>
      </c>
      <c r="CE153" s="1008">
        <f t="shared" si="167"/>
        <v>0</v>
      </c>
      <c r="CF153" s="1008">
        <f t="shared" si="167"/>
        <v>0</v>
      </c>
      <c r="CG153" s="1008">
        <f t="shared" si="167"/>
        <v>0</v>
      </c>
      <c r="CH153" s="1008">
        <f t="shared" si="167"/>
        <v>0</v>
      </c>
      <c r="CI153" s="1008">
        <f t="shared" si="167"/>
        <v>0</v>
      </c>
      <c r="CJ153" s="1008"/>
      <c r="CK153" s="1008">
        <f t="shared" si="168"/>
        <v>0</v>
      </c>
      <c r="CL153" s="1008">
        <f t="shared" si="168"/>
        <v>0</v>
      </c>
      <c r="CM153" s="1011">
        <f t="shared" si="113"/>
        <v>0.4456883254925833</v>
      </c>
      <c r="CN153" s="1008">
        <f t="shared" si="154"/>
        <v>48956036</v>
      </c>
      <c r="CO153" s="1008"/>
      <c r="CP153" s="1008"/>
      <c r="CQ153" s="1008"/>
      <c r="CR153" s="1008">
        <f>+'[11]ABRIL 2015'!$H$166</f>
        <v>8300998</v>
      </c>
      <c r="CS153" s="1008"/>
      <c r="CT153" s="1008"/>
      <c r="CU153" s="1008"/>
      <c r="CV153" s="1008"/>
      <c r="CW153" s="1008"/>
      <c r="CX153" s="1008"/>
      <c r="CY153" s="1008"/>
      <c r="CZ153" s="1008">
        <f>8301038+32354000</f>
        <v>40655038</v>
      </c>
      <c r="DA153" s="1008"/>
      <c r="DB153" s="1008"/>
      <c r="DC153" s="1008"/>
      <c r="DD153" s="1008"/>
      <c r="DE153" s="1008"/>
      <c r="DF153" s="1008"/>
      <c r="DG153" s="1008"/>
      <c r="DH153" s="1008"/>
      <c r="DI153" s="1011">
        <f t="shared" si="115"/>
        <v>0.5543116745074167</v>
      </c>
      <c r="DJ153" s="1008">
        <f t="shared" si="155"/>
        <v>60887622</v>
      </c>
      <c r="DK153" s="1008"/>
      <c r="DL153" s="1008"/>
      <c r="DM153" s="1008"/>
      <c r="DN153" s="1008">
        <f t="shared" si="163"/>
        <v>0</v>
      </c>
      <c r="DO153" s="1008">
        <f t="shared" si="163"/>
        <v>0</v>
      </c>
      <c r="DP153" s="1008">
        <f t="shared" si="163"/>
        <v>0</v>
      </c>
      <c r="DQ153" s="1008">
        <f t="shared" si="163"/>
        <v>0</v>
      </c>
      <c r="DR153" s="1008"/>
      <c r="DS153" s="1008">
        <f t="shared" si="169"/>
        <v>0</v>
      </c>
      <c r="DT153" s="1008">
        <f t="shared" si="169"/>
        <v>0</v>
      </c>
      <c r="DU153" s="1008"/>
      <c r="DV153" s="1008">
        <f t="shared" si="170"/>
        <v>60887622</v>
      </c>
      <c r="DW153" s="1008">
        <f t="shared" si="170"/>
        <v>0</v>
      </c>
      <c r="DX153" s="1008">
        <f t="shared" si="170"/>
        <v>0</v>
      </c>
      <c r="DY153" s="1008">
        <f t="shared" si="171"/>
        <v>0</v>
      </c>
      <c r="DZ153" s="1008">
        <f t="shared" si="171"/>
        <v>0</v>
      </c>
      <c r="EA153" s="1008">
        <f t="shared" si="171"/>
        <v>0</v>
      </c>
      <c r="EB153" s="1008">
        <f t="shared" si="171"/>
        <v>0</v>
      </c>
      <c r="EC153" s="1008"/>
      <c r="ED153" s="1008">
        <f t="shared" si="172"/>
        <v>0</v>
      </c>
    </row>
    <row r="154" spans="1:134" s="203" customFormat="1" ht="36" customHeight="1" x14ac:dyDescent="0.25">
      <c r="A154" s="1560"/>
      <c r="B154" s="989"/>
      <c r="C154" s="1081" t="s">
        <v>4515</v>
      </c>
      <c r="D154" s="1019" t="s">
        <v>4551</v>
      </c>
      <c r="E154" s="997">
        <v>211</v>
      </c>
      <c r="F154" s="1120" t="s">
        <v>4482</v>
      </c>
      <c r="G154" s="1400"/>
      <c r="H154" s="1061">
        <f t="shared" si="143"/>
        <v>0</v>
      </c>
      <c r="I154" s="1061">
        <f t="shared" si="144"/>
        <v>0</v>
      </c>
      <c r="J154" s="1401"/>
      <c r="K154" s="1284"/>
      <c r="L154" s="1284"/>
      <c r="M154" s="1075">
        <v>0</v>
      </c>
      <c r="N154" s="1075">
        <v>0</v>
      </c>
      <c r="O154" s="1075">
        <v>0</v>
      </c>
      <c r="P154" s="1075"/>
      <c r="Q154" s="1075"/>
      <c r="R154" s="1075"/>
      <c r="S154" s="1120"/>
      <c r="T154" s="1120"/>
      <c r="U154" s="1120"/>
      <c r="V154" s="1120"/>
      <c r="W154" s="1120"/>
      <c r="X154" s="1120"/>
      <c r="Y154" s="1067">
        <f t="shared" si="145"/>
        <v>0</v>
      </c>
      <c r="Z154" s="149"/>
      <c r="AA154" s="149"/>
      <c r="AB154" s="149"/>
      <c r="AC154" s="1067">
        <f>600000000-600000000</f>
        <v>0</v>
      </c>
      <c r="AD154" s="149"/>
      <c r="AE154" s="149"/>
      <c r="AF154" s="1067"/>
      <c r="AG154" s="1067"/>
      <c r="AH154" s="1067"/>
      <c r="AI154" s="1067"/>
      <c r="AJ154" s="1067"/>
      <c r="AK154" s="1067"/>
      <c r="AL154" s="1067"/>
      <c r="AM154" s="149"/>
      <c r="AN154" s="149"/>
      <c r="AO154" s="149"/>
      <c r="AP154" s="149"/>
      <c r="AQ154" s="149"/>
      <c r="AR154" s="149"/>
      <c r="AS154" s="1067"/>
      <c r="AU154" s="1082">
        <v>0</v>
      </c>
      <c r="AV154" s="1067">
        <f t="shared" si="146"/>
        <v>0</v>
      </c>
      <c r="AW154" s="1067"/>
      <c r="AX154" s="1067"/>
      <c r="AY154" s="1067"/>
      <c r="AZ154" s="1067"/>
      <c r="BA154" s="1067"/>
      <c r="BB154" s="1067"/>
      <c r="BC154" s="1067"/>
      <c r="BD154" s="1067"/>
      <c r="BE154" s="1067"/>
      <c r="BF154" s="1067"/>
      <c r="BG154" s="1067"/>
      <c r="BH154" s="1067"/>
      <c r="BI154" s="1067"/>
      <c r="BJ154" s="1067"/>
      <c r="BK154" s="1067"/>
      <c r="BL154" s="1067"/>
      <c r="BM154" s="1067"/>
      <c r="BN154" s="1067"/>
      <c r="BO154" s="1067"/>
      <c r="BP154" s="1067"/>
      <c r="BQ154" s="1082">
        <v>0</v>
      </c>
      <c r="BR154" s="1067">
        <f t="shared" si="147"/>
        <v>0</v>
      </c>
      <c r="BS154" s="1067">
        <f t="shared" si="164"/>
        <v>0</v>
      </c>
      <c r="BT154" s="1067">
        <f t="shared" si="165"/>
        <v>0</v>
      </c>
      <c r="BU154" s="1067"/>
      <c r="BV154" s="1067">
        <f t="shared" si="162"/>
        <v>0</v>
      </c>
      <c r="BW154" s="1067">
        <f t="shared" si="162"/>
        <v>0</v>
      </c>
      <c r="BX154" s="1067">
        <f t="shared" si="166"/>
        <v>0</v>
      </c>
      <c r="BY154" s="1067">
        <f t="shared" si="166"/>
        <v>0</v>
      </c>
      <c r="BZ154" s="1067"/>
      <c r="CA154" s="1067">
        <f t="shared" si="167"/>
        <v>0</v>
      </c>
      <c r="CB154" s="1067">
        <f t="shared" si="167"/>
        <v>0</v>
      </c>
      <c r="CC154" s="1067">
        <f t="shared" si="167"/>
        <v>0</v>
      </c>
      <c r="CD154" s="1067">
        <f t="shared" si="167"/>
        <v>0</v>
      </c>
      <c r="CE154" s="1067">
        <f t="shared" si="167"/>
        <v>0</v>
      </c>
      <c r="CF154" s="1067">
        <f t="shared" si="167"/>
        <v>0</v>
      </c>
      <c r="CG154" s="1067">
        <f t="shared" si="167"/>
        <v>0</v>
      </c>
      <c r="CH154" s="1067">
        <f t="shared" si="167"/>
        <v>0</v>
      </c>
      <c r="CI154" s="1067">
        <f t="shared" si="167"/>
        <v>0</v>
      </c>
      <c r="CJ154" s="1067"/>
      <c r="CK154" s="1067">
        <f t="shared" si="168"/>
        <v>0</v>
      </c>
      <c r="CL154" s="1067">
        <f t="shared" si="168"/>
        <v>0</v>
      </c>
      <c r="CM154" s="1082">
        <v>0</v>
      </c>
      <c r="CN154" s="1067">
        <f t="shared" si="154"/>
        <v>0</v>
      </c>
      <c r="CO154" s="1067"/>
      <c r="CP154" s="1067"/>
      <c r="CQ154" s="1067"/>
      <c r="CR154" s="1067"/>
      <c r="CS154" s="1067"/>
      <c r="CT154" s="1067"/>
      <c r="CU154" s="1067"/>
      <c r="CV154" s="1067"/>
      <c r="CW154" s="1067"/>
      <c r="CX154" s="1067"/>
      <c r="CY154" s="1067"/>
      <c r="CZ154" s="1067"/>
      <c r="DA154" s="1067"/>
      <c r="DB154" s="1067"/>
      <c r="DC154" s="1067"/>
      <c r="DD154" s="1067"/>
      <c r="DE154" s="1067"/>
      <c r="DF154" s="1067"/>
      <c r="DG154" s="1067"/>
      <c r="DH154" s="1067"/>
      <c r="DI154" s="1082">
        <v>0</v>
      </c>
      <c r="DJ154" s="1067">
        <f t="shared" si="155"/>
        <v>0</v>
      </c>
      <c r="DK154" s="1067"/>
      <c r="DL154" s="1067"/>
      <c r="DM154" s="1067"/>
      <c r="DN154" s="1067">
        <f t="shared" si="163"/>
        <v>0</v>
      </c>
      <c r="DO154" s="1067">
        <f t="shared" si="163"/>
        <v>0</v>
      </c>
      <c r="DP154" s="1067">
        <f t="shared" si="163"/>
        <v>0</v>
      </c>
      <c r="DQ154" s="1067">
        <f t="shared" si="163"/>
        <v>0</v>
      </c>
      <c r="DR154" s="1067"/>
      <c r="DS154" s="1067">
        <f t="shared" si="169"/>
        <v>0</v>
      </c>
      <c r="DT154" s="1067">
        <f t="shared" si="169"/>
        <v>0</v>
      </c>
      <c r="DU154" s="1067"/>
      <c r="DV154" s="1067">
        <f t="shared" si="170"/>
        <v>0</v>
      </c>
      <c r="DW154" s="1067">
        <f t="shared" si="170"/>
        <v>0</v>
      </c>
      <c r="DX154" s="1067">
        <f t="shared" si="170"/>
        <v>0</v>
      </c>
      <c r="DY154" s="1067">
        <f t="shared" si="171"/>
        <v>0</v>
      </c>
      <c r="DZ154" s="1067">
        <f t="shared" si="171"/>
        <v>0</v>
      </c>
      <c r="EA154" s="1067">
        <f t="shared" si="171"/>
        <v>0</v>
      </c>
      <c r="EB154" s="1067">
        <f t="shared" si="171"/>
        <v>0</v>
      </c>
      <c r="EC154" s="1067">
        <f t="shared" si="171"/>
        <v>0</v>
      </c>
      <c r="ED154" s="1067">
        <f t="shared" si="172"/>
        <v>0</v>
      </c>
    </row>
    <row r="155" spans="1:134" ht="48.75" customHeight="1" x14ac:dyDescent="0.25">
      <c r="A155" s="1560"/>
      <c r="B155" s="989"/>
      <c r="C155" s="852" t="s">
        <v>4516</v>
      </c>
      <c r="D155" s="1019" t="s">
        <v>4726</v>
      </c>
      <c r="E155" s="995">
        <v>211</v>
      </c>
      <c r="F155" s="1120" t="s">
        <v>4482</v>
      </c>
      <c r="G155" s="1400"/>
      <c r="H155" s="1061">
        <f t="shared" si="143"/>
        <v>372698968</v>
      </c>
      <c r="I155" s="1061">
        <f t="shared" si="144"/>
        <v>2518133</v>
      </c>
      <c r="J155" s="1581">
        <v>60</v>
      </c>
      <c r="K155" s="1582">
        <v>78</v>
      </c>
      <c r="L155" s="1305">
        <v>62</v>
      </c>
      <c r="M155" s="1119">
        <v>0</v>
      </c>
      <c r="N155" s="1119">
        <v>0</v>
      </c>
      <c r="O155" s="1119">
        <v>0</v>
      </c>
      <c r="P155" s="1115">
        <v>0</v>
      </c>
      <c r="Q155" s="1115">
        <v>0</v>
      </c>
      <c r="R155" s="1115">
        <v>0</v>
      </c>
      <c r="S155" s="1120"/>
      <c r="T155" s="1120"/>
      <c r="U155" s="1120"/>
      <c r="V155" s="1120"/>
      <c r="W155" s="1120"/>
      <c r="X155" s="1120"/>
      <c r="Y155" s="1008">
        <f t="shared" si="145"/>
        <v>375217101</v>
      </c>
      <c r="Z155" s="944"/>
      <c r="AA155" s="944"/>
      <c r="AB155" s="944"/>
      <c r="AC155" s="1008">
        <f>1007000000-631782899</f>
        <v>375217101</v>
      </c>
      <c r="AD155" s="944"/>
      <c r="AE155" s="944"/>
      <c r="AF155" s="1008"/>
      <c r="AG155" s="1008"/>
      <c r="AH155" s="1008"/>
      <c r="AI155" s="1008"/>
      <c r="AJ155" s="1008"/>
      <c r="AK155" s="1008"/>
      <c r="AL155" s="1008"/>
      <c r="AM155" s="149"/>
      <c r="AN155" s="149"/>
      <c r="AO155" s="149"/>
      <c r="AP155" s="149"/>
      <c r="AQ155" s="149"/>
      <c r="AR155" s="149"/>
      <c r="AS155" s="1008"/>
      <c r="AU155" s="1011">
        <f t="shared" si="103"/>
        <v>0.99328886398490668</v>
      </c>
      <c r="AV155" s="1008">
        <f t="shared" si="146"/>
        <v>372698968</v>
      </c>
      <c r="AW155" s="1008"/>
      <c r="AX155" s="1008"/>
      <c r="AY155" s="1008"/>
      <c r="AZ155" s="1008">
        <f>+'[15]JULIO 2015'!$M$208</f>
        <v>372698968</v>
      </c>
      <c r="BA155" s="1008"/>
      <c r="BB155" s="1008"/>
      <c r="BC155" s="1008"/>
      <c r="BD155" s="1008"/>
      <c r="BE155" s="1008"/>
      <c r="BF155" s="1008"/>
      <c r="BG155" s="1008"/>
      <c r="BH155" s="1008"/>
      <c r="BI155" s="1008"/>
      <c r="BJ155" s="1008"/>
      <c r="BK155" s="1008"/>
      <c r="BL155" s="1008"/>
      <c r="BM155" s="1008"/>
      <c r="BN155" s="1008"/>
      <c r="BO155" s="1008"/>
      <c r="BP155" s="1008"/>
      <c r="BQ155" s="1011">
        <f t="shared" si="105"/>
        <v>6.7111360150933219E-3</v>
      </c>
      <c r="BR155" s="1008">
        <f t="shared" si="147"/>
        <v>2518133</v>
      </c>
      <c r="BS155" s="1008">
        <f t="shared" si="164"/>
        <v>0</v>
      </c>
      <c r="BT155" s="1008">
        <f t="shared" si="165"/>
        <v>0</v>
      </c>
      <c r="BU155" s="1008"/>
      <c r="BV155" s="1008">
        <f t="shared" si="162"/>
        <v>2518133</v>
      </c>
      <c r="BW155" s="1008">
        <f t="shared" si="162"/>
        <v>0</v>
      </c>
      <c r="BX155" s="1008">
        <f t="shared" si="166"/>
        <v>0</v>
      </c>
      <c r="BY155" s="1008">
        <f t="shared" si="166"/>
        <v>0</v>
      </c>
      <c r="BZ155" s="1008"/>
      <c r="CA155" s="1008">
        <f t="shared" si="167"/>
        <v>0</v>
      </c>
      <c r="CB155" s="1008">
        <f t="shared" si="167"/>
        <v>0</v>
      </c>
      <c r="CC155" s="1008">
        <f t="shared" si="167"/>
        <v>0</v>
      </c>
      <c r="CD155" s="1008">
        <f t="shared" si="167"/>
        <v>0</v>
      </c>
      <c r="CE155" s="1008">
        <f t="shared" si="167"/>
        <v>0</v>
      </c>
      <c r="CF155" s="1008">
        <f t="shared" si="167"/>
        <v>0</v>
      </c>
      <c r="CG155" s="1008">
        <f t="shared" si="167"/>
        <v>0</v>
      </c>
      <c r="CH155" s="1008">
        <f t="shared" si="167"/>
        <v>0</v>
      </c>
      <c r="CI155" s="1008">
        <f t="shared" si="167"/>
        <v>0</v>
      </c>
      <c r="CJ155" s="1008"/>
      <c r="CK155" s="1008">
        <f t="shared" si="168"/>
        <v>0</v>
      </c>
      <c r="CL155" s="1008">
        <f t="shared" si="168"/>
        <v>0</v>
      </c>
      <c r="CM155" s="1011">
        <f t="shared" si="113"/>
        <v>0.99328886398490668</v>
      </c>
      <c r="CN155" s="1008">
        <f t="shared" si="154"/>
        <v>372698968</v>
      </c>
      <c r="CO155" s="1008"/>
      <c r="CP155" s="1008"/>
      <c r="CQ155" s="1008"/>
      <c r="CR155" s="1008">
        <f>+'[16]AGOSTO 2015'!$H$214</f>
        <v>372698968</v>
      </c>
      <c r="CS155" s="1008"/>
      <c r="CT155" s="1008"/>
      <c r="CU155" s="1008"/>
      <c r="CV155" s="1008"/>
      <c r="CW155" s="1008"/>
      <c r="CX155" s="1008"/>
      <c r="CY155" s="1008"/>
      <c r="CZ155" s="1008"/>
      <c r="DA155" s="1008"/>
      <c r="DB155" s="1008"/>
      <c r="DC155" s="1008"/>
      <c r="DD155" s="1008"/>
      <c r="DE155" s="1008"/>
      <c r="DF155" s="1008"/>
      <c r="DG155" s="1008"/>
      <c r="DH155" s="1008"/>
      <c r="DI155" s="1011">
        <f t="shared" si="115"/>
        <v>6.7111360150933219E-3</v>
      </c>
      <c r="DJ155" s="1008">
        <f t="shared" si="155"/>
        <v>2518133</v>
      </c>
      <c r="DK155" s="1008"/>
      <c r="DL155" s="1008"/>
      <c r="DM155" s="1008"/>
      <c r="DN155" s="1008">
        <f t="shared" si="163"/>
        <v>2518133</v>
      </c>
      <c r="DO155" s="1008">
        <f t="shared" si="163"/>
        <v>0</v>
      </c>
      <c r="DP155" s="1008">
        <f t="shared" si="163"/>
        <v>0</v>
      </c>
      <c r="DQ155" s="1008">
        <f t="shared" si="163"/>
        <v>0</v>
      </c>
      <c r="DR155" s="1008"/>
      <c r="DS155" s="1008">
        <f t="shared" si="169"/>
        <v>0</v>
      </c>
      <c r="DT155" s="1008">
        <f t="shared" si="169"/>
        <v>0</v>
      </c>
      <c r="DU155" s="1008"/>
      <c r="DV155" s="1008">
        <f t="shared" si="170"/>
        <v>0</v>
      </c>
      <c r="DW155" s="1008">
        <f t="shared" si="170"/>
        <v>0</v>
      </c>
      <c r="DX155" s="1008">
        <f t="shared" si="170"/>
        <v>0</v>
      </c>
      <c r="DY155" s="1008">
        <f t="shared" si="171"/>
        <v>0</v>
      </c>
      <c r="DZ155" s="1008">
        <f t="shared" si="171"/>
        <v>0</v>
      </c>
      <c r="EA155" s="1008">
        <f t="shared" si="171"/>
        <v>0</v>
      </c>
      <c r="EB155" s="1008">
        <f t="shared" si="171"/>
        <v>0</v>
      </c>
      <c r="EC155" s="1008">
        <f t="shared" si="171"/>
        <v>0</v>
      </c>
      <c r="ED155" s="1008">
        <f t="shared" si="172"/>
        <v>0</v>
      </c>
    </row>
    <row r="156" spans="1:134" ht="49.5" customHeight="1" x14ac:dyDescent="0.25">
      <c r="A156" s="1560"/>
      <c r="B156" s="989"/>
      <c r="C156" s="852" t="s">
        <v>4517</v>
      </c>
      <c r="D156" s="1019" t="s">
        <v>4552</v>
      </c>
      <c r="E156" s="995">
        <v>211</v>
      </c>
      <c r="F156" s="1120" t="s">
        <v>4482</v>
      </c>
      <c r="G156" s="1400"/>
      <c r="H156" s="1061">
        <f t="shared" si="143"/>
        <v>244800000</v>
      </c>
      <c r="I156" s="1061">
        <f t="shared" si="144"/>
        <v>0</v>
      </c>
      <c r="J156" s="1581"/>
      <c r="K156" s="1582"/>
      <c r="L156" s="1305"/>
      <c r="M156" s="1119">
        <v>0</v>
      </c>
      <c r="N156" s="1119">
        <v>0</v>
      </c>
      <c r="O156" s="1119">
        <v>0</v>
      </c>
      <c r="P156" s="1115">
        <v>100</v>
      </c>
      <c r="Q156" s="1115">
        <v>40</v>
      </c>
      <c r="R156" s="1115">
        <v>40</v>
      </c>
      <c r="S156" s="1120"/>
      <c r="T156" s="1120"/>
      <c r="U156" s="1120"/>
      <c r="V156" s="1120"/>
      <c r="W156" s="1120"/>
      <c r="X156" s="1120"/>
      <c r="Y156" s="1008">
        <f t="shared" si="145"/>
        <v>244800000</v>
      </c>
      <c r="Z156" s="944"/>
      <c r="AA156" s="944"/>
      <c r="AB156" s="944"/>
      <c r="AC156" s="1008">
        <f>2000000000-1755200000</f>
        <v>244800000</v>
      </c>
      <c r="AD156" s="944"/>
      <c r="AE156" s="944"/>
      <c r="AF156" s="1008"/>
      <c r="AG156" s="1008"/>
      <c r="AH156" s="1008"/>
      <c r="AI156" s="1008"/>
      <c r="AJ156" s="1008"/>
      <c r="AK156" s="1008"/>
      <c r="AL156" s="1008"/>
      <c r="AM156" s="149"/>
      <c r="AN156" s="149"/>
      <c r="AO156" s="149"/>
      <c r="AP156" s="149"/>
      <c r="AQ156" s="149"/>
      <c r="AR156" s="149"/>
      <c r="AS156" s="1008"/>
      <c r="AU156" s="1011">
        <f t="shared" si="103"/>
        <v>1</v>
      </c>
      <c r="AV156" s="1008">
        <f t="shared" si="146"/>
        <v>244800000</v>
      </c>
      <c r="AW156" s="1008"/>
      <c r="AX156" s="1008"/>
      <c r="AY156" s="1008"/>
      <c r="AZ156" s="1008">
        <f>+'[11]ABRIL 2015'!$G$182</f>
        <v>244800000</v>
      </c>
      <c r="BA156" s="1008"/>
      <c r="BB156" s="1008"/>
      <c r="BC156" s="1008"/>
      <c r="BD156" s="1008"/>
      <c r="BE156" s="1008"/>
      <c r="BF156" s="1008"/>
      <c r="BG156" s="1008"/>
      <c r="BH156" s="1008"/>
      <c r="BI156" s="1008"/>
      <c r="BJ156" s="1008"/>
      <c r="BK156" s="1008"/>
      <c r="BL156" s="1008"/>
      <c r="BM156" s="1008"/>
      <c r="BN156" s="1008"/>
      <c r="BO156" s="1008"/>
      <c r="BP156" s="1008"/>
      <c r="BQ156" s="1011">
        <f t="shared" si="105"/>
        <v>0</v>
      </c>
      <c r="BR156" s="1008">
        <f t="shared" si="147"/>
        <v>0</v>
      </c>
      <c r="BS156" s="1008">
        <f t="shared" si="164"/>
        <v>0</v>
      </c>
      <c r="BT156" s="1008">
        <f t="shared" si="165"/>
        <v>0</v>
      </c>
      <c r="BU156" s="1008"/>
      <c r="BV156" s="1008">
        <f t="shared" si="162"/>
        <v>0</v>
      </c>
      <c r="BW156" s="1008">
        <f t="shared" si="162"/>
        <v>0</v>
      </c>
      <c r="BX156" s="1008">
        <f t="shared" si="166"/>
        <v>0</v>
      </c>
      <c r="BY156" s="1008">
        <f t="shared" si="166"/>
        <v>0</v>
      </c>
      <c r="BZ156" s="1008"/>
      <c r="CA156" s="1008">
        <f t="shared" si="167"/>
        <v>0</v>
      </c>
      <c r="CB156" s="1008">
        <f t="shared" si="167"/>
        <v>0</v>
      </c>
      <c r="CC156" s="1008">
        <f t="shared" si="167"/>
        <v>0</v>
      </c>
      <c r="CD156" s="1008">
        <f t="shared" si="167"/>
        <v>0</v>
      </c>
      <c r="CE156" s="1008">
        <f t="shared" si="167"/>
        <v>0</v>
      </c>
      <c r="CF156" s="1008">
        <f t="shared" si="167"/>
        <v>0</v>
      </c>
      <c r="CG156" s="1008">
        <f t="shared" si="167"/>
        <v>0</v>
      </c>
      <c r="CH156" s="1008">
        <f t="shared" si="167"/>
        <v>0</v>
      </c>
      <c r="CI156" s="1008">
        <f t="shared" si="167"/>
        <v>0</v>
      </c>
      <c r="CJ156" s="1008"/>
      <c r="CK156" s="1008">
        <f t="shared" si="168"/>
        <v>0</v>
      </c>
      <c r="CL156" s="1008">
        <f t="shared" si="168"/>
        <v>0</v>
      </c>
      <c r="CM156" s="1011">
        <f t="shared" si="113"/>
        <v>1</v>
      </c>
      <c r="CN156" s="1008">
        <f t="shared" si="154"/>
        <v>244800000</v>
      </c>
      <c r="CO156" s="1008"/>
      <c r="CP156" s="1008"/>
      <c r="CQ156" s="1008"/>
      <c r="CR156" s="1008">
        <v>244800000</v>
      </c>
      <c r="CS156" s="1008"/>
      <c r="CT156" s="1008"/>
      <c r="CU156" s="1008"/>
      <c r="CV156" s="1008"/>
      <c r="CW156" s="1008"/>
      <c r="CX156" s="1008"/>
      <c r="CY156" s="1008"/>
      <c r="CZ156" s="1008"/>
      <c r="DA156" s="1008"/>
      <c r="DB156" s="1008"/>
      <c r="DC156" s="1008"/>
      <c r="DD156" s="1008"/>
      <c r="DE156" s="1008"/>
      <c r="DF156" s="1008"/>
      <c r="DG156" s="1008"/>
      <c r="DH156" s="1008"/>
      <c r="DI156" s="1011">
        <f t="shared" si="115"/>
        <v>0</v>
      </c>
      <c r="DJ156" s="1008">
        <f t="shared" si="155"/>
        <v>0</v>
      </c>
      <c r="DK156" s="1008"/>
      <c r="DL156" s="1008"/>
      <c r="DM156" s="1008"/>
      <c r="DN156" s="1008">
        <f t="shared" si="163"/>
        <v>0</v>
      </c>
      <c r="DO156" s="1008">
        <f t="shared" si="163"/>
        <v>0</v>
      </c>
      <c r="DP156" s="1008">
        <f t="shared" si="163"/>
        <v>0</v>
      </c>
      <c r="DQ156" s="1008">
        <f t="shared" si="163"/>
        <v>0</v>
      </c>
      <c r="DR156" s="1008"/>
      <c r="DS156" s="1008">
        <f t="shared" si="169"/>
        <v>0</v>
      </c>
      <c r="DT156" s="1008">
        <f t="shared" si="169"/>
        <v>0</v>
      </c>
      <c r="DU156" s="1008"/>
      <c r="DV156" s="1008">
        <f t="shared" si="170"/>
        <v>0</v>
      </c>
      <c r="DW156" s="1008">
        <f t="shared" si="170"/>
        <v>0</v>
      </c>
      <c r="DX156" s="1008">
        <f t="shared" si="170"/>
        <v>0</v>
      </c>
      <c r="DY156" s="1008">
        <f t="shared" si="171"/>
        <v>0</v>
      </c>
      <c r="DZ156" s="1008">
        <f t="shared" si="171"/>
        <v>0</v>
      </c>
      <c r="EA156" s="1008">
        <f t="shared" si="171"/>
        <v>0</v>
      </c>
      <c r="EB156" s="1008">
        <f t="shared" si="171"/>
        <v>0</v>
      </c>
      <c r="EC156" s="1008">
        <f t="shared" si="171"/>
        <v>0</v>
      </c>
      <c r="ED156" s="1008">
        <f t="shared" si="172"/>
        <v>0</v>
      </c>
    </row>
    <row r="157" spans="1:134" ht="22.5" customHeight="1" x14ac:dyDescent="0.25">
      <c r="A157" s="1560"/>
      <c r="B157" s="989"/>
      <c r="C157" s="852" t="s">
        <v>4518</v>
      </c>
      <c r="D157" s="1019" t="s">
        <v>4553</v>
      </c>
      <c r="E157" s="995">
        <v>211</v>
      </c>
      <c r="F157" s="1120" t="s">
        <v>4482</v>
      </c>
      <c r="G157" s="1400"/>
      <c r="H157" s="1061">
        <f t="shared" si="143"/>
        <v>96000000</v>
      </c>
      <c r="I157" s="1061">
        <f t="shared" si="144"/>
        <v>250985280</v>
      </c>
      <c r="J157" s="1581"/>
      <c r="K157" s="1582"/>
      <c r="L157" s="1305"/>
      <c r="M157" s="1119">
        <v>0</v>
      </c>
      <c r="N157" s="1119">
        <v>0</v>
      </c>
      <c r="O157" s="1119">
        <v>0</v>
      </c>
      <c r="P157" s="1115">
        <v>13</v>
      </c>
      <c r="Q157" s="1115">
        <v>5</v>
      </c>
      <c r="R157" s="1115">
        <v>1</v>
      </c>
      <c r="S157" s="1120"/>
      <c r="T157" s="1120"/>
      <c r="U157" s="1120"/>
      <c r="V157" s="1120"/>
      <c r="W157" s="1120"/>
      <c r="X157" s="1120"/>
      <c r="Y157" s="1008">
        <f t="shared" si="145"/>
        <v>346985280</v>
      </c>
      <c r="Z157" s="944"/>
      <c r="AA157" s="944"/>
      <c r="AB157" s="944"/>
      <c r="AC157" s="1008">
        <f>178840000+200000000-72884540+72884540-31854720</f>
        <v>346985280</v>
      </c>
      <c r="AD157" s="1008">
        <f>72884540-72884540</f>
        <v>0</v>
      </c>
      <c r="AE157" s="944"/>
      <c r="AF157" s="1008"/>
      <c r="AG157" s="1008"/>
      <c r="AH157" s="1008"/>
      <c r="AI157" s="1008"/>
      <c r="AJ157" s="1008"/>
      <c r="AK157" s="1008"/>
      <c r="AL157" s="1008"/>
      <c r="AM157" s="149"/>
      <c r="AN157" s="149"/>
      <c r="AO157" s="149"/>
      <c r="AP157" s="149"/>
      <c r="AQ157" s="149"/>
      <c r="AR157" s="149"/>
      <c r="AS157" s="1008"/>
      <c r="AU157" s="1011">
        <f t="shared" si="103"/>
        <v>0.27666879701640368</v>
      </c>
      <c r="AV157" s="1008">
        <f t="shared" si="146"/>
        <v>96000000</v>
      </c>
      <c r="AW157" s="1008"/>
      <c r="AX157" s="1008"/>
      <c r="AY157" s="1008"/>
      <c r="AZ157" s="1008">
        <f>+'[16]AGOSTO 2015'!$M$233</f>
        <v>96000000</v>
      </c>
      <c r="BA157" s="1008"/>
      <c r="BB157" s="1008"/>
      <c r="BC157" s="1008"/>
      <c r="BD157" s="1008"/>
      <c r="BE157" s="1008"/>
      <c r="BF157" s="1008"/>
      <c r="BG157" s="1008"/>
      <c r="BH157" s="1008"/>
      <c r="BI157" s="1008"/>
      <c r="BJ157" s="1008"/>
      <c r="BK157" s="1008"/>
      <c r="BL157" s="1008"/>
      <c r="BM157" s="1008"/>
      <c r="BN157" s="1008"/>
      <c r="BO157" s="1008"/>
      <c r="BP157" s="1008"/>
      <c r="BQ157" s="1011">
        <f t="shared" si="105"/>
        <v>0.72333120298359632</v>
      </c>
      <c r="BR157" s="1008">
        <f t="shared" si="147"/>
        <v>250985280</v>
      </c>
      <c r="BS157" s="1008">
        <f t="shared" si="164"/>
        <v>0</v>
      </c>
      <c r="BT157" s="1008">
        <f t="shared" si="165"/>
        <v>0</v>
      </c>
      <c r="BU157" s="1008"/>
      <c r="BV157" s="1008">
        <f t="shared" si="162"/>
        <v>250985280</v>
      </c>
      <c r="BW157" s="1008">
        <f t="shared" si="162"/>
        <v>0</v>
      </c>
      <c r="BX157" s="1008">
        <f t="shared" si="166"/>
        <v>0</v>
      </c>
      <c r="BY157" s="1008">
        <f t="shared" si="166"/>
        <v>0</v>
      </c>
      <c r="BZ157" s="1008"/>
      <c r="CA157" s="1008">
        <f t="shared" si="167"/>
        <v>0</v>
      </c>
      <c r="CB157" s="1008">
        <f t="shared" si="167"/>
        <v>0</v>
      </c>
      <c r="CC157" s="1008">
        <f t="shared" si="167"/>
        <v>0</v>
      </c>
      <c r="CD157" s="1008">
        <f t="shared" si="167"/>
        <v>0</v>
      </c>
      <c r="CE157" s="1008">
        <f t="shared" si="167"/>
        <v>0</v>
      </c>
      <c r="CF157" s="1008">
        <f t="shared" si="167"/>
        <v>0</v>
      </c>
      <c r="CG157" s="1008">
        <f t="shared" si="167"/>
        <v>0</v>
      </c>
      <c r="CH157" s="1008">
        <f t="shared" si="167"/>
        <v>0</v>
      </c>
      <c r="CI157" s="1008">
        <f t="shared" si="167"/>
        <v>0</v>
      </c>
      <c r="CJ157" s="1008"/>
      <c r="CK157" s="1008">
        <f t="shared" si="168"/>
        <v>0</v>
      </c>
      <c r="CL157" s="1008">
        <f t="shared" si="168"/>
        <v>0</v>
      </c>
      <c r="CM157" s="1011">
        <f t="shared" si="113"/>
        <v>0.27666879701640368</v>
      </c>
      <c r="CN157" s="1008">
        <f t="shared" si="154"/>
        <v>96000000</v>
      </c>
      <c r="CO157" s="1008"/>
      <c r="CP157" s="1008"/>
      <c r="CQ157" s="1008"/>
      <c r="CR157" s="1008">
        <f>+'[16]AGOSTO 2015'!$H$231</f>
        <v>96000000</v>
      </c>
      <c r="CS157" s="1008"/>
      <c r="CT157" s="1008"/>
      <c r="CU157" s="1008"/>
      <c r="CV157" s="1008"/>
      <c r="CW157" s="1008"/>
      <c r="CX157" s="1008"/>
      <c r="CY157" s="1008"/>
      <c r="CZ157" s="1008"/>
      <c r="DA157" s="1008"/>
      <c r="DB157" s="1008"/>
      <c r="DC157" s="1008"/>
      <c r="DD157" s="1008"/>
      <c r="DE157" s="1008"/>
      <c r="DF157" s="1008"/>
      <c r="DG157" s="1008"/>
      <c r="DH157" s="1008"/>
      <c r="DI157" s="1011">
        <f t="shared" si="115"/>
        <v>0.72333120298359632</v>
      </c>
      <c r="DJ157" s="1008">
        <f t="shared" si="155"/>
        <v>250985280</v>
      </c>
      <c r="DK157" s="1008"/>
      <c r="DL157" s="1008"/>
      <c r="DM157" s="1008"/>
      <c r="DN157" s="1008">
        <f t="shared" si="163"/>
        <v>250985280</v>
      </c>
      <c r="DO157" s="1008">
        <f t="shared" si="163"/>
        <v>0</v>
      </c>
      <c r="DP157" s="1008">
        <f t="shared" si="163"/>
        <v>0</v>
      </c>
      <c r="DQ157" s="1008">
        <f t="shared" si="163"/>
        <v>0</v>
      </c>
      <c r="DR157" s="1008"/>
      <c r="DS157" s="1008">
        <f t="shared" si="169"/>
        <v>0</v>
      </c>
      <c r="DT157" s="1008">
        <f t="shared" si="169"/>
        <v>0</v>
      </c>
      <c r="DU157" s="1008"/>
      <c r="DV157" s="1008">
        <f t="shared" si="170"/>
        <v>0</v>
      </c>
      <c r="DW157" s="1008">
        <f t="shared" si="170"/>
        <v>0</v>
      </c>
      <c r="DX157" s="1008">
        <f t="shared" si="170"/>
        <v>0</v>
      </c>
      <c r="DY157" s="1008">
        <f t="shared" si="171"/>
        <v>0</v>
      </c>
      <c r="DZ157" s="1008">
        <f t="shared" si="171"/>
        <v>0</v>
      </c>
      <c r="EA157" s="1008">
        <f t="shared" si="171"/>
        <v>0</v>
      </c>
      <c r="EB157" s="1008">
        <f t="shared" si="171"/>
        <v>0</v>
      </c>
      <c r="EC157" s="1008">
        <f t="shared" si="171"/>
        <v>0</v>
      </c>
      <c r="ED157" s="1008">
        <f t="shared" si="172"/>
        <v>0</v>
      </c>
    </row>
    <row r="158" spans="1:134" ht="45.75" customHeight="1" x14ac:dyDescent="0.25">
      <c r="A158" s="1560"/>
      <c r="B158" s="989"/>
      <c r="C158" s="852" t="s">
        <v>4519</v>
      </c>
      <c r="D158" s="1053" t="s">
        <v>4554</v>
      </c>
      <c r="E158" s="995">
        <v>211</v>
      </c>
      <c r="F158" s="1054" t="s">
        <v>4482</v>
      </c>
      <c r="G158" s="1400"/>
      <c r="H158" s="1061">
        <f t="shared" si="143"/>
        <v>26866695</v>
      </c>
      <c r="I158" s="1061">
        <f t="shared" si="144"/>
        <v>13133305</v>
      </c>
      <c r="J158" s="1581">
        <v>54</v>
      </c>
      <c r="K158" s="1582">
        <v>71</v>
      </c>
      <c r="L158" s="1305">
        <v>56</v>
      </c>
      <c r="M158" s="1119">
        <v>0</v>
      </c>
      <c r="N158" s="1119">
        <v>0</v>
      </c>
      <c r="O158" s="1119">
        <v>0</v>
      </c>
      <c r="P158" s="1115">
        <v>0</v>
      </c>
      <c r="Q158" s="1115">
        <v>0</v>
      </c>
      <c r="R158" s="1115">
        <v>0</v>
      </c>
      <c r="S158" s="1054"/>
      <c r="T158" s="1054"/>
      <c r="U158" s="1054"/>
      <c r="V158" s="1054"/>
      <c r="W158" s="1054"/>
      <c r="X158" s="1054"/>
      <c r="Y158" s="1008">
        <f t="shared" si="145"/>
        <v>40000000</v>
      </c>
      <c r="Z158" s="944"/>
      <c r="AA158" s="944"/>
      <c r="AB158" s="944"/>
      <c r="AC158" s="1008">
        <f>90000000+500000000-250000000-300000000-39070000</f>
        <v>930000</v>
      </c>
      <c r="AD158" s="944"/>
      <c r="AE158" s="944"/>
      <c r="AF158" s="1008"/>
      <c r="AG158" s="1008"/>
      <c r="AH158" s="1008"/>
      <c r="AI158" s="1008"/>
      <c r="AJ158" s="1008"/>
      <c r="AK158" s="1008"/>
      <c r="AL158" s="1008"/>
      <c r="AM158" s="149"/>
      <c r="AN158" s="149">
        <f>39070000</f>
        <v>39070000</v>
      </c>
      <c r="AO158" s="149"/>
      <c r="AP158" s="149"/>
      <c r="AQ158" s="149"/>
      <c r="AR158" s="149"/>
      <c r="AS158" s="1008"/>
      <c r="AU158" s="1011">
        <f t="shared" si="103"/>
        <v>0.85004464999999996</v>
      </c>
      <c r="AV158" s="1008">
        <f t="shared" si="146"/>
        <v>34001786</v>
      </c>
      <c r="AW158" s="1008"/>
      <c r="AX158" s="1008"/>
      <c r="AY158" s="1008"/>
      <c r="AZ158" s="1008">
        <f>+'[14]JUNIO 2015'!$M$212</f>
        <v>930000</v>
      </c>
      <c r="BA158" s="1008"/>
      <c r="BB158" s="1008"/>
      <c r="BC158" s="1008"/>
      <c r="BD158" s="1008"/>
      <c r="BE158" s="1008"/>
      <c r="BF158" s="1008"/>
      <c r="BG158" s="1008"/>
      <c r="BH158" s="1008"/>
      <c r="BI158" s="1008"/>
      <c r="BJ158" s="1008"/>
      <c r="BK158" s="1008">
        <f>+'[18]OCTUBRE 2015'!$X$259</f>
        <v>33071786</v>
      </c>
      <c r="BL158" s="1008"/>
      <c r="BM158" s="1008"/>
      <c r="BN158" s="1008"/>
      <c r="BO158" s="1008"/>
      <c r="BP158" s="1008"/>
      <c r="BQ158" s="1011">
        <f t="shared" si="105"/>
        <v>0.14995535000000004</v>
      </c>
      <c r="BR158" s="1008">
        <f t="shared" si="147"/>
        <v>5998214</v>
      </c>
      <c r="BS158" s="1008">
        <f t="shared" si="164"/>
        <v>0</v>
      </c>
      <c r="BT158" s="1008">
        <f t="shared" si="165"/>
        <v>0</v>
      </c>
      <c r="BU158" s="1008"/>
      <c r="BV158" s="1008">
        <f t="shared" si="162"/>
        <v>0</v>
      </c>
      <c r="BW158" s="1008">
        <f t="shared" si="162"/>
        <v>0</v>
      </c>
      <c r="BX158" s="1008">
        <f t="shared" si="166"/>
        <v>0</v>
      </c>
      <c r="BY158" s="1008">
        <f t="shared" si="166"/>
        <v>0</v>
      </c>
      <c r="BZ158" s="1008"/>
      <c r="CA158" s="1008">
        <f t="shared" si="167"/>
        <v>0</v>
      </c>
      <c r="CB158" s="1008">
        <f t="shared" si="167"/>
        <v>0</v>
      </c>
      <c r="CC158" s="1008">
        <f t="shared" si="167"/>
        <v>0</v>
      </c>
      <c r="CD158" s="1008">
        <f t="shared" si="167"/>
        <v>0</v>
      </c>
      <c r="CE158" s="1008">
        <f t="shared" si="167"/>
        <v>0</v>
      </c>
      <c r="CF158" s="1008">
        <f t="shared" si="167"/>
        <v>0</v>
      </c>
      <c r="CG158" s="1008">
        <f t="shared" si="167"/>
        <v>5998214</v>
      </c>
      <c r="CH158" s="1008">
        <f t="shared" si="167"/>
        <v>0</v>
      </c>
      <c r="CI158" s="1008">
        <f t="shared" si="167"/>
        <v>0</v>
      </c>
      <c r="CJ158" s="1008"/>
      <c r="CK158" s="1008">
        <f t="shared" si="168"/>
        <v>0</v>
      </c>
      <c r="CL158" s="1008">
        <f t="shared" si="168"/>
        <v>0</v>
      </c>
      <c r="CM158" s="1011">
        <f t="shared" si="113"/>
        <v>0.67166737499999996</v>
      </c>
      <c r="CN158" s="1008">
        <f t="shared" si="154"/>
        <v>26866695</v>
      </c>
      <c r="CO158" s="1008"/>
      <c r="CP158" s="1008"/>
      <c r="CQ158" s="1008"/>
      <c r="CR158" s="1008">
        <f>+'[14]JUNIO 2015'!$H$210</f>
        <v>186695</v>
      </c>
      <c r="CS158" s="1008"/>
      <c r="CT158" s="1008"/>
      <c r="CU158" s="1008"/>
      <c r="CV158" s="1008"/>
      <c r="CW158" s="1008"/>
      <c r="CX158" s="1008"/>
      <c r="CY158" s="1008"/>
      <c r="CZ158" s="1008"/>
      <c r="DA158" s="1008"/>
      <c r="DB158" s="1008"/>
      <c r="DC158" s="1008">
        <f>+'[18]OCTUBRE 2015'!$H$264</f>
        <v>26680000</v>
      </c>
      <c r="DD158" s="1008"/>
      <c r="DE158" s="1008"/>
      <c r="DF158" s="1008"/>
      <c r="DG158" s="1008"/>
      <c r="DH158" s="1008"/>
      <c r="DI158" s="1011">
        <f t="shared" si="115"/>
        <v>0.32833262500000004</v>
      </c>
      <c r="DJ158" s="1008">
        <f t="shared" si="155"/>
        <v>13133305</v>
      </c>
      <c r="DK158" s="1008"/>
      <c r="DL158" s="1008"/>
      <c r="DM158" s="1008"/>
      <c r="DN158" s="1008">
        <f t="shared" si="163"/>
        <v>743305</v>
      </c>
      <c r="DO158" s="1008">
        <f t="shared" si="163"/>
        <v>0</v>
      </c>
      <c r="DP158" s="1008">
        <f t="shared" si="163"/>
        <v>0</v>
      </c>
      <c r="DQ158" s="1008">
        <f t="shared" si="163"/>
        <v>0</v>
      </c>
      <c r="DR158" s="1008"/>
      <c r="DS158" s="1008">
        <f t="shared" si="169"/>
        <v>0</v>
      </c>
      <c r="DT158" s="1008">
        <f t="shared" si="169"/>
        <v>0</v>
      </c>
      <c r="DU158" s="1008"/>
      <c r="DV158" s="1008">
        <f t="shared" si="170"/>
        <v>0</v>
      </c>
      <c r="DW158" s="1008">
        <f t="shared" si="170"/>
        <v>0</v>
      </c>
      <c r="DX158" s="1008">
        <f t="shared" si="170"/>
        <v>0</v>
      </c>
      <c r="DY158" s="1008">
        <f t="shared" si="171"/>
        <v>12390000</v>
      </c>
      <c r="DZ158" s="1008">
        <f t="shared" si="171"/>
        <v>0</v>
      </c>
      <c r="EA158" s="1008">
        <f t="shared" si="171"/>
        <v>0</v>
      </c>
      <c r="EB158" s="1008">
        <f t="shared" si="171"/>
        <v>0</v>
      </c>
      <c r="EC158" s="1008">
        <f t="shared" si="171"/>
        <v>0</v>
      </c>
      <c r="ED158" s="1008">
        <f t="shared" si="172"/>
        <v>0</v>
      </c>
    </row>
    <row r="159" spans="1:134" s="203" customFormat="1" ht="35.25" customHeight="1" x14ac:dyDescent="0.25">
      <c r="A159" s="1560"/>
      <c r="B159" s="989"/>
      <c r="C159" s="1081" t="s">
        <v>4520</v>
      </c>
      <c r="D159" s="1019" t="s">
        <v>4555</v>
      </c>
      <c r="E159" s="997">
        <v>211</v>
      </c>
      <c r="F159" s="1120" t="s">
        <v>4482</v>
      </c>
      <c r="G159" s="1400"/>
      <c r="H159" s="1061">
        <f t="shared" si="143"/>
        <v>299999200</v>
      </c>
      <c r="I159" s="1061">
        <f t="shared" si="144"/>
        <v>800</v>
      </c>
      <c r="J159" s="1581"/>
      <c r="K159" s="1582"/>
      <c r="L159" s="1305"/>
      <c r="M159" s="1077">
        <v>0</v>
      </c>
      <c r="N159" s="1077">
        <v>0</v>
      </c>
      <c r="O159" s="1077">
        <v>0</v>
      </c>
      <c r="P159" s="1075"/>
      <c r="Q159" s="1075"/>
      <c r="R159" s="1075"/>
      <c r="S159" s="1120"/>
      <c r="T159" s="1120"/>
      <c r="U159" s="1120"/>
      <c r="V159" s="1120"/>
      <c r="W159" s="1120"/>
      <c r="X159" s="1120"/>
      <c r="Y159" s="1067">
        <f t="shared" si="145"/>
        <v>300000000</v>
      </c>
      <c r="Z159" s="149"/>
      <c r="AA159" s="149"/>
      <c r="AB159" s="149"/>
      <c r="AC159" s="1067">
        <f>300000000-300000000+300000000</f>
        <v>300000000</v>
      </c>
      <c r="AD159" s="149"/>
      <c r="AE159" s="149"/>
      <c r="AF159" s="1067"/>
      <c r="AG159" s="1067"/>
      <c r="AH159" s="1067"/>
      <c r="AI159" s="1067"/>
      <c r="AJ159" s="1067"/>
      <c r="AK159" s="1067"/>
      <c r="AL159" s="1067"/>
      <c r="AM159" s="149"/>
      <c r="AN159" s="149"/>
      <c r="AO159" s="149"/>
      <c r="AP159" s="149"/>
      <c r="AQ159" s="149"/>
      <c r="AR159" s="149"/>
      <c r="AS159" s="1067"/>
      <c r="AU159" s="1082">
        <f t="shared" si="103"/>
        <v>0.99999733333333329</v>
      </c>
      <c r="AV159" s="1067">
        <f t="shared" si="146"/>
        <v>299999200</v>
      </c>
      <c r="AW159" s="1067"/>
      <c r="AX159" s="1067"/>
      <c r="AY159" s="1067"/>
      <c r="AZ159" s="1067">
        <f>+'[18]OCTUBRE 2015'!$M$271</f>
        <v>299999200</v>
      </c>
      <c r="BA159" s="1067"/>
      <c r="BB159" s="1067"/>
      <c r="BC159" s="1067"/>
      <c r="BD159" s="1067"/>
      <c r="BE159" s="1067"/>
      <c r="BF159" s="1067"/>
      <c r="BG159" s="1067"/>
      <c r="BH159" s="1067"/>
      <c r="BI159" s="1067"/>
      <c r="BJ159" s="1067"/>
      <c r="BK159" s="1067"/>
      <c r="BL159" s="1067"/>
      <c r="BM159" s="1067"/>
      <c r="BN159" s="1067"/>
      <c r="BO159" s="1067"/>
      <c r="BP159" s="1067"/>
      <c r="BQ159" s="1082">
        <f t="shared" si="105"/>
        <v>2.666666666706341E-6</v>
      </c>
      <c r="BR159" s="1067">
        <f t="shared" si="147"/>
        <v>800</v>
      </c>
      <c r="BS159" s="1067">
        <f t="shared" si="164"/>
        <v>0</v>
      </c>
      <c r="BT159" s="1067">
        <f t="shared" si="165"/>
        <v>0</v>
      </c>
      <c r="BU159" s="1067"/>
      <c r="BV159" s="1067">
        <f t="shared" si="162"/>
        <v>800</v>
      </c>
      <c r="BW159" s="1067">
        <f t="shared" si="162"/>
        <v>0</v>
      </c>
      <c r="BX159" s="1067">
        <f t="shared" si="166"/>
        <v>0</v>
      </c>
      <c r="BY159" s="1067">
        <f t="shared" si="166"/>
        <v>0</v>
      </c>
      <c r="BZ159" s="1067"/>
      <c r="CA159" s="1067">
        <f t="shared" si="167"/>
        <v>0</v>
      </c>
      <c r="CB159" s="1067">
        <f t="shared" si="167"/>
        <v>0</v>
      </c>
      <c r="CC159" s="1067">
        <f t="shared" si="167"/>
        <v>0</v>
      </c>
      <c r="CD159" s="1067">
        <f t="shared" si="167"/>
        <v>0</v>
      </c>
      <c r="CE159" s="1067">
        <f t="shared" si="167"/>
        <v>0</v>
      </c>
      <c r="CF159" s="1067">
        <f t="shared" si="167"/>
        <v>0</v>
      </c>
      <c r="CG159" s="1067">
        <f t="shared" si="167"/>
        <v>0</v>
      </c>
      <c r="CH159" s="1067">
        <f t="shared" si="167"/>
        <v>0</v>
      </c>
      <c r="CI159" s="1067">
        <f t="shared" si="167"/>
        <v>0</v>
      </c>
      <c r="CJ159" s="1067"/>
      <c r="CK159" s="1067">
        <f t="shared" si="168"/>
        <v>0</v>
      </c>
      <c r="CL159" s="1067">
        <f t="shared" si="168"/>
        <v>0</v>
      </c>
      <c r="CM159" s="1082">
        <f t="shared" si="113"/>
        <v>0.99999733333333329</v>
      </c>
      <c r="CN159" s="1067">
        <f t="shared" si="154"/>
        <v>299999200</v>
      </c>
      <c r="CO159" s="1067"/>
      <c r="CP159" s="1067"/>
      <c r="CQ159" s="1067"/>
      <c r="CR159" s="1067">
        <f>+'[18]OCTUBRE 2015'!$H$269</f>
        <v>299999200</v>
      </c>
      <c r="CS159" s="1067"/>
      <c r="CT159" s="1067"/>
      <c r="CU159" s="1067"/>
      <c r="CV159" s="1067"/>
      <c r="CW159" s="1067"/>
      <c r="CX159" s="1067"/>
      <c r="CY159" s="1067"/>
      <c r="CZ159" s="1067"/>
      <c r="DA159" s="1067"/>
      <c r="DB159" s="1067"/>
      <c r="DC159" s="1067"/>
      <c r="DD159" s="1067"/>
      <c r="DE159" s="1067"/>
      <c r="DF159" s="1067"/>
      <c r="DG159" s="1067"/>
      <c r="DH159" s="1067"/>
      <c r="DI159" s="1082">
        <f t="shared" si="115"/>
        <v>2.666666666706341E-6</v>
      </c>
      <c r="DJ159" s="1067">
        <f t="shared" si="155"/>
        <v>800</v>
      </c>
      <c r="DK159" s="1067"/>
      <c r="DL159" s="1067"/>
      <c r="DM159" s="1067"/>
      <c r="DN159" s="1067">
        <f t="shared" si="163"/>
        <v>800</v>
      </c>
      <c r="DO159" s="1067">
        <f t="shared" si="163"/>
        <v>0</v>
      </c>
      <c r="DP159" s="1067">
        <f t="shared" si="163"/>
        <v>0</v>
      </c>
      <c r="DQ159" s="1067">
        <f t="shared" si="163"/>
        <v>0</v>
      </c>
      <c r="DR159" s="1067"/>
      <c r="DS159" s="1067">
        <f t="shared" si="169"/>
        <v>0</v>
      </c>
      <c r="DT159" s="1067">
        <f t="shared" si="169"/>
        <v>0</v>
      </c>
      <c r="DU159" s="1067"/>
      <c r="DV159" s="1067">
        <f t="shared" si="170"/>
        <v>0</v>
      </c>
      <c r="DW159" s="1067">
        <f t="shared" si="170"/>
        <v>0</v>
      </c>
      <c r="DX159" s="1067">
        <f t="shared" si="170"/>
        <v>0</v>
      </c>
      <c r="DY159" s="1067">
        <f t="shared" si="171"/>
        <v>0</v>
      </c>
      <c r="DZ159" s="1067">
        <f t="shared" si="171"/>
        <v>0</v>
      </c>
      <c r="EA159" s="1067">
        <f t="shared" si="171"/>
        <v>0</v>
      </c>
      <c r="EB159" s="1067">
        <f t="shared" si="171"/>
        <v>0</v>
      </c>
      <c r="EC159" s="1067">
        <f t="shared" si="171"/>
        <v>0</v>
      </c>
      <c r="ED159" s="1067">
        <f t="shared" si="172"/>
        <v>0</v>
      </c>
    </row>
    <row r="160" spans="1:134" ht="36.75" customHeight="1" x14ac:dyDescent="0.25">
      <c r="A160" s="1560"/>
      <c r="B160" s="989"/>
      <c r="C160" s="852" t="s">
        <v>4521</v>
      </c>
      <c r="D160" s="1019" t="s">
        <v>4504</v>
      </c>
      <c r="E160" s="995">
        <v>211</v>
      </c>
      <c r="F160" s="1120" t="s">
        <v>4506</v>
      </c>
      <c r="G160" s="1400"/>
      <c r="H160" s="1061">
        <f t="shared" si="143"/>
        <v>0</v>
      </c>
      <c r="I160" s="1061">
        <f t="shared" si="144"/>
        <v>4200000</v>
      </c>
      <c r="J160" s="1581"/>
      <c r="K160" s="1582"/>
      <c r="L160" s="1305"/>
      <c r="M160" s="1119">
        <v>0</v>
      </c>
      <c r="N160" s="1119">
        <v>0</v>
      </c>
      <c r="O160" s="1119">
        <v>0</v>
      </c>
      <c r="P160" s="1115">
        <v>0</v>
      </c>
      <c r="Q160" s="1115">
        <v>0</v>
      </c>
      <c r="R160" s="1115">
        <v>0</v>
      </c>
      <c r="S160" s="1120"/>
      <c r="T160" s="1120"/>
      <c r="U160" s="1120"/>
      <c r="V160" s="1120"/>
      <c r="W160" s="1120"/>
      <c r="X160" s="1120"/>
      <c r="Y160" s="1008">
        <f t="shared" si="145"/>
        <v>4200000</v>
      </c>
      <c r="Z160" s="944"/>
      <c r="AA160" s="944"/>
      <c r="AB160" s="944"/>
      <c r="AC160" s="1008"/>
      <c r="AD160" s="944"/>
      <c r="AE160" s="944"/>
      <c r="AF160" s="1008"/>
      <c r="AG160" s="1008"/>
      <c r="AH160" s="1008"/>
      <c r="AI160" s="1008"/>
      <c r="AJ160" s="1008"/>
      <c r="AK160" s="1008"/>
      <c r="AL160" s="1008"/>
      <c r="AM160" s="149"/>
      <c r="AN160" s="149"/>
      <c r="AO160" s="149"/>
      <c r="AP160" s="149"/>
      <c r="AQ160" s="149"/>
      <c r="AR160" s="149"/>
      <c r="AS160" s="1008">
        <f>4200000</f>
        <v>4200000</v>
      </c>
      <c r="AU160" s="1011">
        <f t="shared" si="103"/>
        <v>1</v>
      </c>
      <c r="AV160" s="1008">
        <f t="shared" si="146"/>
        <v>4200000</v>
      </c>
      <c r="AW160" s="1008"/>
      <c r="AX160" s="1008"/>
      <c r="AY160" s="1008"/>
      <c r="AZ160" s="1008"/>
      <c r="BA160" s="1008"/>
      <c r="BB160" s="1008"/>
      <c r="BC160" s="1008"/>
      <c r="BD160" s="1008"/>
      <c r="BE160" s="1008"/>
      <c r="BF160" s="1008"/>
      <c r="BG160" s="1008"/>
      <c r="BH160" s="1008"/>
      <c r="BI160" s="1008"/>
      <c r="BJ160" s="1008"/>
      <c r="BK160" s="1008"/>
      <c r="BL160" s="1008"/>
      <c r="BM160" s="1008"/>
      <c r="BN160" s="1008"/>
      <c r="BO160" s="1008"/>
      <c r="BP160" s="1008">
        <f>+'[7]ENERO 2015'!$AA$166</f>
        <v>4200000</v>
      </c>
      <c r="BQ160" s="1011">
        <f t="shared" si="105"/>
        <v>0</v>
      </c>
      <c r="BR160" s="1008">
        <f t="shared" si="147"/>
        <v>0</v>
      </c>
      <c r="BS160" s="1008">
        <f t="shared" si="164"/>
        <v>0</v>
      </c>
      <c r="BT160" s="1008">
        <f t="shared" si="165"/>
        <v>0</v>
      </c>
      <c r="BU160" s="1008"/>
      <c r="BV160" s="1008">
        <f t="shared" si="162"/>
        <v>0</v>
      </c>
      <c r="BW160" s="1008">
        <f t="shared" si="162"/>
        <v>0</v>
      </c>
      <c r="BX160" s="1008">
        <f t="shared" si="166"/>
        <v>0</v>
      </c>
      <c r="BY160" s="1008">
        <f t="shared" si="166"/>
        <v>0</v>
      </c>
      <c r="BZ160" s="1008"/>
      <c r="CA160" s="1008">
        <f t="shared" si="167"/>
        <v>0</v>
      </c>
      <c r="CB160" s="1008">
        <f t="shared" si="167"/>
        <v>0</v>
      </c>
      <c r="CC160" s="1008">
        <f t="shared" si="167"/>
        <v>0</v>
      </c>
      <c r="CD160" s="1008">
        <f t="shared" si="167"/>
        <v>0</v>
      </c>
      <c r="CE160" s="1008">
        <f t="shared" si="167"/>
        <v>0</v>
      </c>
      <c r="CF160" s="1008">
        <f t="shared" si="167"/>
        <v>0</v>
      </c>
      <c r="CG160" s="1008">
        <f t="shared" si="167"/>
        <v>0</v>
      </c>
      <c r="CH160" s="1008">
        <f t="shared" si="167"/>
        <v>0</v>
      </c>
      <c r="CI160" s="1008">
        <f t="shared" si="167"/>
        <v>0</v>
      </c>
      <c r="CJ160" s="1008"/>
      <c r="CK160" s="1008">
        <f t="shared" si="168"/>
        <v>0</v>
      </c>
      <c r="CL160" s="1008">
        <f t="shared" si="168"/>
        <v>0</v>
      </c>
      <c r="CM160" s="1011">
        <f t="shared" si="113"/>
        <v>0</v>
      </c>
      <c r="CN160" s="1008">
        <f t="shared" si="154"/>
        <v>0</v>
      </c>
      <c r="CO160" s="1008"/>
      <c r="CP160" s="1008"/>
      <c r="CQ160" s="1008"/>
      <c r="CR160" s="1008"/>
      <c r="CS160" s="1008"/>
      <c r="CT160" s="1008"/>
      <c r="CU160" s="1008"/>
      <c r="CV160" s="1008"/>
      <c r="CW160" s="1008"/>
      <c r="CX160" s="1008"/>
      <c r="CY160" s="1008"/>
      <c r="CZ160" s="1008"/>
      <c r="DA160" s="1008"/>
      <c r="DB160" s="1008"/>
      <c r="DC160" s="1008"/>
      <c r="DD160" s="1008"/>
      <c r="DE160" s="1008"/>
      <c r="DF160" s="1008"/>
      <c r="DG160" s="1008"/>
      <c r="DH160" s="1008"/>
      <c r="DI160" s="1011">
        <f t="shared" si="115"/>
        <v>1</v>
      </c>
      <c r="DJ160" s="1008">
        <f t="shared" si="155"/>
        <v>4200000</v>
      </c>
      <c r="DK160" s="1008"/>
      <c r="DL160" s="1008"/>
      <c r="DM160" s="1008"/>
      <c r="DN160" s="1008">
        <f t="shared" si="163"/>
        <v>0</v>
      </c>
      <c r="DO160" s="1008">
        <f t="shared" si="163"/>
        <v>0</v>
      </c>
      <c r="DP160" s="1008">
        <f t="shared" si="163"/>
        <v>0</v>
      </c>
      <c r="DQ160" s="1008">
        <f t="shared" si="163"/>
        <v>0</v>
      </c>
      <c r="DR160" s="1008"/>
      <c r="DS160" s="1008">
        <f t="shared" si="169"/>
        <v>0</v>
      </c>
      <c r="DT160" s="1008">
        <f t="shared" si="169"/>
        <v>0</v>
      </c>
      <c r="DU160" s="1008"/>
      <c r="DV160" s="1008">
        <f t="shared" si="170"/>
        <v>0</v>
      </c>
      <c r="DW160" s="1008">
        <f t="shared" si="170"/>
        <v>0</v>
      </c>
      <c r="DX160" s="1008">
        <f t="shared" si="170"/>
        <v>0</v>
      </c>
      <c r="DY160" s="1008">
        <f t="shared" si="171"/>
        <v>0</v>
      </c>
      <c r="DZ160" s="1008">
        <f t="shared" si="171"/>
        <v>0</v>
      </c>
      <c r="EA160" s="1008">
        <f t="shared" si="171"/>
        <v>0</v>
      </c>
      <c r="EB160" s="1008">
        <f t="shared" si="171"/>
        <v>0</v>
      </c>
      <c r="EC160" s="1008">
        <f t="shared" si="171"/>
        <v>0</v>
      </c>
      <c r="ED160" s="1008">
        <f t="shared" si="172"/>
        <v>4200000</v>
      </c>
    </row>
    <row r="161" spans="1:134" ht="21" customHeight="1" x14ac:dyDescent="0.25">
      <c r="A161" s="1560"/>
      <c r="B161" s="989"/>
      <c r="C161" s="852" t="s">
        <v>4522</v>
      </c>
      <c r="D161" s="1019" t="s">
        <v>4505</v>
      </c>
      <c r="E161" s="995">
        <v>211</v>
      </c>
      <c r="F161" s="1120" t="s">
        <v>4482</v>
      </c>
      <c r="G161" s="1400"/>
      <c r="H161" s="1061">
        <f t="shared" si="143"/>
        <v>10200000</v>
      </c>
      <c r="I161" s="1061">
        <f t="shared" si="144"/>
        <v>20541545</v>
      </c>
      <c r="J161" s="1399">
        <v>299</v>
      </c>
      <c r="K161" s="1283">
        <v>399</v>
      </c>
      <c r="L161" s="1283">
        <v>309</v>
      </c>
      <c r="M161" s="1119">
        <v>0</v>
      </c>
      <c r="N161" s="1119">
        <v>0</v>
      </c>
      <c r="O161" s="1119">
        <v>0</v>
      </c>
      <c r="P161" s="1115">
        <v>0</v>
      </c>
      <c r="Q161" s="1115">
        <v>0</v>
      </c>
      <c r="R161" s="1115">
        <v>0</v>
      </c>
      <c r="S161" s="1120"/>
      <c r="T161" s="1120"/>
      <c r="U161" s="1120"/>
      <c r="V161" s="1120"/>
      <c r="W161" s="1120"/>
      <c r="X161" s="1120"/>
      <c r="Y161" s="1008">
        <f t="shared" si="145"/>
        <v>30741545</v>
      </c>
      <c r="Z161" s="944"/>
      <c r="AA161" s="944"/>
      <c r="AB161" s="944"/>
      <c r="AC161" s="1008">
        <f>124058456-124058456</f>
        <v>0</v>
      </c>
      <c r="AD161" s="944"/>
      <c r="AE161" s="944"/>
      <c r="AF161" s="1008"/>
      <c r="AG161" s="1008"/>
      <c r="AH161" s="1008"/>
      <c r="AI161" s="1008"/>
      <c r="AJ161" s="1008"/>
      <c r="AK161" s="1008">
        <v>30741545</v>
      </c>
      <c r="AL161" s="1008"/>
      <c r="AM161" s="149"/>
      <c r="AN161" s="149"/>
      <c r="AO161" s="149"/>
      <c r="AP161" s="149"/>
      <c r="AQ161" s="149"/>
      <c r="AR161" s="149"/>
      <c r="AS161" s="1008"/>
      <c r="AU161" s="1011">
        <f t="shared" si="103"/>
        <v>0.33179854818617605</v>
      </c>
      <c r="AV161" s="1008">
        <f t="shared" si="146"/>
        <v>10200000</v>
      </c>
      <c r="AW161" s="1008"/>
      <c r="AX161" s="1008"/>
      <c r="AY161" s="1008"/>
      <c r="AZ161" s="1008"/>
      <c r="BA161" s="1008"/>
      <c r="BB161" s="1008"/>
      <c r="BC161" s="1008"/>
      <c r="BD161" s="1008"/>
      <c r="BE161" s="1008"/>
      <c r="BF161" s="1008"/>
      <c r="BG161" s="1008"/>
      <c r="BH161" s="1008">
        <f>+'[17]SEPTIEMBRE 2015'!$U$271</f>
        <v>10200000</v>
      </c>
      <c r="BI161" s="1008"/>
      <c r="BJ161" s="1008"/>
      <c r="BK161" s="1008"/>
      <c r="BL161" s="1008"/>
      <c r="BM161" s="1008"/>
      <c r="BN161" s="1008"/>
      <c r="BO161" s="1008"/>
      <c r="BP161" s="1008"/>
      <c r="BQ161" s="1011">
        <f t="shared" si="105"/>
        <v>0.66820145181382395</v>
      </c>
      <c r="BR161" s="1008">
        <f t="shared" si="147"/>
        <v>20541545</v>
      </c>
      <c r="BS161" s="1008">
        <f t="shared" si="164"/>
        <v>0</v>
      </c>
      <c r="BT161" s="1008">
        <f t="shared" si="165"/>
        <v>0</v>
      </c>
      <c r="BU161" s="1008"/>
      <c r="BV161" s="1008">
        <f t="shared" si="162"/>
        <v>0</v>
      </c>
      <c r="BW161" s="1008">
        <f t="shared" si="162"/>
        <v>0</v>
      </c>
      <c r="BX161" s="1008">
        <f t="shared" si="166"/>
        <v>0</v>
      </c>
      <c r="BY161" s="1008">
        <f t="shared" si="166"/>
        <v>0</v>
      </c>
      <c r="BZ161" s="1008"/>
      <c r="CA161" s="1008">
        <f t="shared" si="167"/>
        <v>0</v>
      </c>
      <c r="CB161" s="1008">
        <f t="shared" si="167"/>
        <v>0</v>
      </c>
      <c r="CC161" s="1008">
        <f t="shared" si="167"/>
        <v>0</v>
      </c>
      <c r="CD161" s="1008">
        <f t="shared" si="167"/>
        <v>20541545</v>
      </c>
      <c r="CE161" s="1008">
        <f t="shared" si="167"/>
        <v>0</v>
      </c>
      <c r="CF161" s="1008">
        <f t="shared" si="167"/>
        <v>0</v>
      </c>
      <c r="CG161" s="1008">
        <f t="shared" si="167"/>
        <v>0</v>
      </c>
      <c r="CH161" s="1008">
        <f t="shared" si="167"/>
        <v>0</v>
      </c>
      <c r="CI161" s="1008">
        <f t="shared" si="167"/>
        <v>0</v>
      </c>
      <c r="CJ161" s="1008"/>
      <c r="CK161" s="1008">
        <f t="shared" si="168"/>
        <v>0</v>
      </c>
      <c r="CL161" s="1008">
        <f t="shared" si="168"/>
        <v>0</v>
      </c>
      <c r="CM161" s="1011">
        <f t="shared" si="113"/>
        <v>0.33179854818617605</v>
      </c>
      <c r="CN161" s="1008">
        <f t="shared" si="154"/>
        <v>10200000</v>
      </c>
      <c r="CO161" s="1008"/>
      <c r="CP161" s="1008"/>
      <c r="CQ161" s="1008"/>
      <c r="CR161" s="1008"/>
      <c r="CS161" s="1008"/>
      <c r="CT161" s="1008"/>
      <c r="CU161" s="1008"/>
      <c r="CV161" s="1008"/>
      <c r="CW161" s="1008"/>
      <c r="CX161" s="1008"/>
      <c r="CY161" s="1008"/>
      <c r="CZ161" s="1008">
        <f>+'[18]OCTUBRE 2015'!$U$282</f>
        <v>10200000</v>
      </c>
      <c r="DA161" s="1008"/>
      <c r="DB161" s="1008"/>
      <c r="DC161" s="1008"/>
      <c r="DD161" s="1008"/>
      <c r="DE161" s="1008"/>
      <c r="DF161" s="1008"/>
      <c r="DG161" s="1008"/>
      <c r="DH161" s="1008"/>
      <c r="DI161" s="1011">
        <f t="shared" si="115"/>
        <v>0.66820145181382395</v>
      </c>
      <c r="DJ161" s="1008">
        <f t="shared" si="155"/>
        <v>20541545</v>
      </c>
      <c r="DK161" s="1008"/>
      <c r="DL161" s="1008"/>
      <c r="DM161" s="1008"/>
      <c r="DN161" s="1008">
        <f t="shared" si="163"/>
        <v>0</v>
      </c>
      <c r="DO161" s="1008">
        <f t="shared" si="163"/>
        <v>0</v>
      </c>
      <c r="DP161" s="1008">
        <f t="shared" si="163"/>
        <v>0</v>
      </c>
      <c r="DQ161" s="1008">
        <f t="shared" si="163"/>
        <v>0</v>
      </c>
      <c r="DR161" s="1008"/>
      <c r="DS161" s="1008">
        <f t="shared" si="169"/>
        <v>0</v>
      </c>
      <c r="DT161" s="1008">
        <f t="shared" si="169"/>
        <v>0</v>
      </c>
      <c r="DU161" s="1008"/>
      <c r="DV161" s="1008">
        <f t="shared" si="170"/>
        <v>20541545</v>
      </c>
      <c r="DW161" s="1008">
        <f t="shared" si="170"/>
        <v>0</v>
      </c>
      <c r="DX161" s="1008">
        <f t="shared" si="170"/>
        <v>0</v>
      </c>
      <c r="DY161" s="1008">
        <f t="shared" si="171"/>
        <v>0</v>
      </c>
      <c r="DZ161" s="1008">
        <f t="shared" si="171"/>
        <v>0</v>
      </c>
      <c r="EA161" s="1008">
        <f t="shared" si="171"/>
        <v>0</v>
      </c>
      <c r="EB161" s="1008">
        <f t="shared" si="171"/>
        <v>0</v>
      </c>
      <c r="EC161" s="1008">
        <f t="shared" si="171"/>
        <v>0</v>
      </c>
      <c r="ED161" s="1008">
        <f t="shared" si="172"/>
        <v>0</v>
      </c>
    </row>
    <row r="162" spans="1:134" ht="40.5" customHeight="1" x14ac:dyDescent="0.25">
      <c r="A162" s="1560"/>
      <c r="B162" s="989"/>
      <c r="C162" s="852" t="s">
        <v>4523</v>
      </c>
      <c r="D162" s="1019" t="s">
        <v>4507</v>
      </c>
      <c r="E162" s="995">
        <v>211</v>
      </c>
      <c r="F162" s="1120" t="s">
        <v>4482</v>
      </c>
      <c r="G162" s="1400"/>
      <c r="H162" s="1061">
        <f t="shared" si="143"/>
        <v>239816980</v>
      </c>
      <c r="I162" s="1061">
        <f t="shared" si="144"/>
        <v>0</v>
      </c>
      <c r="J162" s="1400"/>
      <c r="K162" s="1573"/>
      <c r="L162" s="1573"/>
      <c r="M162" s="1119">
        <v>0</v>
      </c>
      <c r="N162" s="1119">
        <v>0</v>
      </c>
      <c r="O162" s="1119">
        <v>0</v>
      </c>
      <c r="P162" s="1115">
        <v>100</v>
      </c>
      <c r="Q162" s="1115">
        <v>100</v>
      </c>
      <c r="R162" s="1115">
        <v>100</v>
      </c>
      <c r="S162" s="1120"/>
      <c r="T162" s="1120"/>
      <c r="U162" s="1120"/>
      <c r="V162" s="1120"/>
      <c r="W162" s="1120"/>
      <c r="X162" s="1120"/>
      <c r="Y162" s="1008">
        <f t="shared" ref="Y162:Y193" si="173">SUM(Z162:AS162)</f>
        <v>239816980</v>
      </c>
      <c r="Z162" s="944"/>
      <c r="AA162" s="944"/>
      <c r="AB162" s="944"/>
      <c r="AC162" s="1008">
        <f>101542660+138457340-183020</f>
        <v>239816980</v>
      </c>
      <c r="AD162" s="944"/>
      <c r="AE162" s="944"/>
      <c r="AF162" s="1008">
        <f>169457340-169457340</f>
        <v>0</v>
      </c>
      <c r="AG162" s="1008"/>
      <c r="AH162" s="1008"/>
      <c r="AI162" s="1008"/>
      <c r="AJ162" s="1008"/>
      <c r="AK162" s="1008"/>
      <c r="AL162" s="1008"/>
      <c r="AM162" s="149"/>
      <c r="AN162" s="149"/>
      <c r="AO162" s="149"/>
      <c r="AP162" s="149"/>
      <c r="AQ162" s="149"/>
      <c r="AR162" s="149"/>
      <c r="AS162" s="1008"/>
      <c r="AU162" s="1011">
        <f t="shared" si="103"/>
        <v>1</v>
      </c>
      <c r="AV162" s="1008">
        <f t="shared" ref="AU162:AV193" si="174">SUM(AW162:BP162)</f>
        <v>239816980</v>
      </c>
      <c r="AW162" s="1008"/>
      <c r="AX162" s="1008"/>
      <c r="AY162" s="1008"/>
      <c r="AZ162" s="1008">
        <f>+'[14]JUNIO 2015'!$M$235</f>
        <v>239816980</v>
      </c>
      <c r="BA162" s="1008"/>
      <c r="BB162" s="1008"/>
      <c r="BC162" s="1008"/>
      <c r="BD162" s="1008"/>
      <c r="BE162" s="1008"/>
      <c r="BF162" s="1008"/>
      <c r="BG162" s="1008"/>
      <c r="BH162" s="1008"/>
      <c r="BI162" s="1008"/>
      <c r="BJ162" s="1008"/>
      <c r="BK162" s="1008"/>
      <c r="BL162" s="1008"/>
      <c r="BM162" s="1008"/>
      <c r="BN162" s="1008"/>
      <c r="BO162" s="1008"/>
      <c r="BP162" s="1008"/>
      <c r="BQ162" s="1011">
        <f t="shared" si="105"/>
        <v>0</v>
      </c>
      <c r="BR162" s="1008">
        <f t="shared" ref="BR162:BR194" si="175">SUM(BS162:CL162)</f>
        <v>0</v>
      </c>
      <c r="BS162" s="1008">
        <f t="shared" si="164"/>
        <v>0</v>
      </c>
      <c r="BT162" s="1008">
        <f t="shared" si="165"/>
        <v>0</v>
      </c>
      <c r="BU162" s="1008"/>
      <c r="BV162" s="1008">
        <f t="shared" si="162"/>
        <v>0</v>
      </c>
      <c r="BW162" s="1008">
        <f t="shared" si="162"/>
        <v>0</v>
      </c>
      <c r="BX162" s="1008">
        <f t="shared" si="166"/>
        <v>0</v>
      </c>
      <c r="BY162" s="1008">
        <f t="shared" si="166"/>
        <v>0</v>
      </c>
      <c r="BZ162" s="1008"/>
      <c r="CA162" s="1008">
        <f t="shared" si="167"/>
        <v>0</v>
      </c>
      <c r="CB162" s="1008">
        <f t="shared" si="167"/>
        <v>0</v>
      </c>
      <c r="CC162" s="1008">
        <f t="shared" si="167"/>
        <v>0</v>
      </c>
      <c r="CD162" s="1008">
        <f t="shared" si="167"/>
        <v>0</v>
      </c>
      <c r="CE162" s="1008">
        <f t="shared" si="167"/>
        <v>0</v>
      </c>
      <c r="CF162" s="1008">
        <f t="shared" si="167"/>
        <v>0</v>
      </c>
      <c r="CG162" s="1008">
        <f t="shared" si="167"/>
        <v>0</v>
      </c>
      <c r="CH162" s="1008">
        <f t="shared" si="167"/>
        <v>0</v>
      </c>
      <c r="CI162" s="1008">
        <f t="shared" si="167"/>
        <v>0</v>
      </c>
      <c r="CJ162" s="1008"/>
      <c r="CK162" s="1008">
        <f t="shared" si="168"/>
        <v>0</v>
      </c>
      <c r="CL162" s="1008">
        <f t="shared" si="168"/>
        <v>0</v>
      </c>
      <c r="CM162" s="1011">
        <f t="shared" si="113"/>
        <v>1</v>
      </c>
      <c r="CN162" s="1008">
        <f t="shared" ref="CN162:CN194" si="176">SUM(CO162:DH162)</f>
        <v>239816980</v>
      </c>
      <c r="CO162" s="1008"/>
      <c r="CP162" s="1008"/>
      <c r="CQ162" s="1008"/>
      <c r="CR162" s="1008">
        <f>+'[11]ABRIL 2015'!$H$216</f>
        <v>239816980</v>
      </c>
      <c r="CS162" s="1008"/>
      <c r="CT162" s="1008"/>
      <c r="CU162" s="1008"/>
      <c r="CV162" s="1008"/>
      <c r="CW162" s="1008"/>
      <c r="CX162" s="1008"/>
      <c r="CY162" s="1008"/>
      <c r="CZ162" s="1008"/>
      <c r="DA162" s="1008"/>
      <c r="DB162" s="1008"/>
      <c r="DC162" s="1008"/>
      <c r="DD162" s="1008"/>
      <c r="DE162" s="1008"/>
      <c r="DF162" s="1008"/>
      <c r="DG162" s="1008"/>
      <c r="DH162" s="1008"/>
      <c r="DI162" s="1011">
        <f t="shared" si="115"/>
        <v>0</v>
      </c>
      <c r="DJ162" s="1008">
        <f t="shared" ref="DJ162:DJ194" si="177">SUM(DK162:ED162)</f>
        <v>0</v>
      </c>
      <c r="DK162" s="1008"/>
      <c r="DL162" s="1008"/>
      <c r="DM162" s="1008"/>
      <c r="DN162" s="1008">
        <f t="shared" si="163"/>
        <v>0</v>
      </c>
      <c r="DO162" s="1008">
        <f t="shared" si="163"/>
        <v>0</v>
      </c>
      <c r="DP162" s="1008">
        <f t="shared" si="163"/>
        <v>0</v>
      </c>
      <c r="DQ162" s="1008">
        <f t="shared" si="163"/>
        <v>0</v>
      </c>
      <c r="DR162" s="1008"/>
      <c r="DS162" s="1008">
        <f t="shared" si="169"/>
        <v>0</v>
      </c>
      <c r="DT162" s="1008">
        <f t="shared" si="169"/>
        <v>0</v>
      </c>
      <c r="DU162" s="1008"/>
      <c r="DV162" s="1008">
        <f t="shared" si="170"/>
        <v>0</v>
      </c>
      <c r="DW162" s="1008">
        <f t="shared" si="170"/>
        <v>0</v>
      </c>
      <c r="DX162" s="1008">
        <f t="shared" si="170"/>
        <v>0</v>
      </c>
      <c r="DY162" s="1008">
        <f t="shared" si="171"/>
        <v>0</v>
      </c>
      <c r="DZ162" s="1008">
        <f t="shared" si="171"/>
        <v>0</v>
      </c>
      <c r="EA162" s="1008">
        <f t="shared" si="171"/>
        <v>0</v>
      </c>
      <c r="EB162" s="1008">
        <f t="shared" si="171"/>
        <v>0</v>
      </c>
      <c r="EC162" s="1008">
        <f t="shared" si="171"/>
        <v>0</v>
      </c>
      <c r="ED162" s="1008">
        <f t="shared" si="172"/>
        <v>0</v>
      </c>
    </row>
    <row r="163" spans="1:134" s="203" customFormat="1" ht="33.75" customHeight="1" x14ac:dyDescent="0.25">
      <c r="A163" s="1560"/>
      <c r="B163" s="989"/>
      <c r="C163" s="1081" t="s">
        <v>4524</v>
      </c>
      <c r="D163" s="1019" t="s">
        <v>4508</v>
      </c>
      <c r="E163" s="997">
        <v>211</v>
      </c>
      <c r="F163" s="1120" t="s">
        <v>4482</v>
      </c>
      <c r="G163" s="1400"/>
      <c r="H163" s="1061">
        <f t="shared" si="143"/>
        <v>0</v>
      </c>
      <c r="I163" s="1061">
        <f t="shared" si="144"/>
        <v>0</v>
      </c>
      <c r="J163" s="1401"/>
      <c r="K163" s="1284"/>
      <c r="L163" s="1284"/>
      <c r="M163" s="1077">
        <v>0</v>
      </c>
      <c r="N163" s="1077">
        <v>0</v>
      </c>
      <c r="O163" s="1077">
        <v>0</v>
      </c>
      <c r="P163" s="1075"/>
      <c r="Q163" s="1075"/>
      <c r="R163" s="1075"/>
      <c r="S163" s="1120"/>
      <c r="T163" s="1120"/>
      <c r="U163" s="1120"/>
      <c r="V163" s="1120"/>
      <c r="W163" s="1120"/>
      <c r="X163" s="1120"/>
      <c r="Y163" s="1067">
        <f t="shared" si="173"/>
        <v>0</v>
      </c>
      <c r="Z163" s="149"/>
      <c r="AA163" s="1067">
        <f>353000000-353000000</f>
        <v>0</v>
      </c>
      <c r="AB163" s="1067"/>
      <c r="AC163" s="1067">
        <f>99815599-99815599</f>
        <v>0</v>
      </c>
      <c r="AD163" s="1067"/>
      <c r="AE163" s="1067"/>
      <c r="AF163" s="1067">
        <f>500000000-37000000-110000000-353000000</f>
        <v>0</v>
      </c>
      <c r="AG163" s="149"/>
      <c r="AH163" s="149"/>
      <c r="AI163" s="149"/>
      <c r="AJ163" s="149"/>
      <c r="AK163" s="149"/>
      <c r="AL163" s="149"/>
      <c r="AM163" s="149"/>
      <c r="AN163" s="149"/>
      <c r="AO163" s="149"/>
      <c r="AP163" s="149"/>
      <c r="AQ163" s="149"/>
      <c r="AR163" s="149"/>
      <c r="AS163" s="1067"/>
      <c r="AU163" s="1082">
        <v>0</v>
      </c>
      <c r="AV163" s="1067">
        <f t="shared" si="174"/>
        <v>0</v>
      </c>
      <c r="AW163" s="1067"/>
      <c r="AX163" s="1067"/>
      <c r="AY163" s="1067"/>
      <c r="AZ163" s="1067"/>
      <c r="BA163" s="1067"/>
      <c r="BB163" s="1067"/>
      <c r="BC163" s="1067"/>
      <c r="BD163" s="1067"/>
      <c r="BE163" s="1067"/>
      <c r="BF163" s="1067"/>
      <c r="BG163" s="1067"/>
      <c r="BH163" s="1067"/>
      <c r="BI163" s="1067"/>
      <c r="BJ163" s="1067"/>
      <c r="BK163" s="1067"/>
      <c r="BL163" s="1067"/>
      <c r="BM163" s="1067"/>
      <c r="BN163" s="1067"/>
      <c r="BO163" s="1067"/>
      <c r="BP163" s="1067"/>
      <c r="BQ163" s="1082">
        <v>0</v>
      </c>
      <c r="BR163" s="1067">
        <f t="shared" si="175"/>
        <v>0</v>
      </c>
      <c r="BS163" s="1067">
        <f t="shared" si="164"/>
        <v>0</v>
      </c>
      <c r="BT163" s="1067">
        <f t="shared" si="165"/>
        <v>0</v>
      </c>
      <c r="BU163" s="1067"/>
      <c r="BV163" s="1067">
        <f t="shared" si="162"/>
        <v>0</v>
      </c>
      <c r="BW163" s="1067">
        <f t="shared" si="162"/>
        <v>0</v>
      </c>
      <c r="BX163" s="1067">
        <f t="shared" si="166"/>
        <v>0</v>
      </c>
      <c r="BY163" s="1067">
        <f t="shared" si="166"/>
        <v>0</v>
      </c>
      <c r="BZ163" s="1067"/>
      <c r="CA163" s="1067">
        <f t="shared" si="167"/>
        <v>0</v>
      </c>
      <c r="CB163" s="1067">
        <f t="shared" si="167"/>
        <v>0</v>
      </c>
      <c r="CC163" s="1067">
        <f t="shared" si="167"/>
        <v>0</v>
      </c>
      <c r="CD163" s="1067">
        <f t="shared" si="167"/>
        <v>0</v>
      </c>
      <c r="CE163" s="1067">
        <f t="shared" si="167"/>
        <v>0</v>
      </c>
      <c r="CF163" s="1067">
        <f t="shared" si="167"/>
        <v>0</v>
      </c>
      <c r="CG163" s="1067">
        <f t="shared" si="167"/>
        <v>0</v>
      </c>
      <c r="CH163" s="1067">
        <f t="shared" si="167"/>
        <v>0</v>
      </c>
      <c r="CI163" s="1067">
        <f t="shared" si="167"/>
        <v>0</v>
      </c>
      <c r="CJ163" s="1067">
        <f>+AQ163-BN163</f>
        <v>0</v>
      </c>
      <c r="CK163" s="1067">
        <f t="shared" si="168"/>
        <v>0</v>
      </c>
      <c r="CL163" s="1067">
        <f t="shared" si="168"/>
        <v>0</v>
      </c>
      <c r="CM163" s="1082">
        <v>0</v>
      </c>
      <c r="CN163" s="1067">
        <f t="shared" si="176"/>
        <v>0</v>
      </c>
      <c r="CO163" s="1067"/>
      <c r="CP163" s="1067"/>
      <c r="CQ163" s="1067"/>
      <c r="CR163" s="1067"/>
      <c r="CS163" s="1067"/>
      <c r="CT163" s="1067"/>
      <c r="CU163" s="1067"/>
      <c r="CV163" s="1067"/>
      <c r="CW163" s="1067"/>
      <c r="CX163" s="1067"/>
      <c r="CY163" s="1067"/>
      <c r="CZ163" s="1067"/>
      <c r="DA163" s="1067"/>
      <c r="DB163" s="1067"/>
      <c r="DC163" s="1067"/>
      <c r="DD163" s="1067"/>
      <c r="DE163" s="1067"/>
      <c r="DF163" s="1067"/>
      <c r="DG163" s="1067"/>
      <c r="DH163" s="1067"/>
      <c r="DI163" s="1082">
        <v>0</v>
      </c>
      <c r="DJ163" s="1067">
        <f t="shared" si="177"/>
        <v>0</v>
      </c>
      <c r="DK163" s="1067"/>
      <c r="DL163" s="1067">
        <f>AA163-CP163</f>
        <v>0</v>
      </c>
      <c r="DM163" s="1067">
        <f>AB163-CQ163</f>
        <v>0</v>
      </c>
      <c r="DN163" s="1067">
        <f t="shared" si="163"/>
        <v>0</v>
      </c>
      <c r="DO163" s="1067">
        <f t="shared" si="163"/>
        <v>0</v>
      </c>
      <c r="DP163" s="1067">
        <f t="shared" si="163"/>
        <v>0</v>
      </c>
      <c r="DQ163" s="1067">
        <f t="shared" si="163"/>
        <v>0</v>
      </c>
      <c r="DR163" s="1067"/>
      <c r="DS163" s="1067">
        <f t="shared" si="169"/>
        <v>0</v>
      </c>
      <c r="DT163" s="1067">
        <f t="shared" si="169"/>
        <v>0</v>
      </c>
      <c r="DU163" s="1067"/>
      <c r="DV163" s="1067">
        <f t="shared" si="170"/>
        <v>0</v>
      </c>
      <c r="DW163" s="1067">
        <f t="shared" si="170"/>
        <v>0</v>
      </c>
      <c r="DX163" s="1067">
        <f t="shared" si="170"/>
        <v>0</v>
      </c>
      <c r="DY163" s="1067">
        <f t="shared" si="171"/>
        <v>0</v>
      </c>
      <c r="DZ163" s="1067">
        <f t="shared" si="171"/>
        <v>0</v>
      </c>
      <c r="EA163" s="1067">
        <f t="shared" si="171"/>
        <v>0</v>
      </c>
      <c r="EB163" s="1067">
        <f t="shared" si="171"/>
        <v>0</v>
      </c>
      <c r="EC163" s="1067">
        <f t="shared" si="171"/>
        <v>0</v>
      </c>
      <c r="ED163" s="1067">
        <f t="shared" si="172"/>
        <v>0</v>
      </c>
    </row>
    <row r="164" spans="1:134" ht="42.75" customHeight="1" x14ac:dyDescent="0.25">
      <c r="A164" s="1560"/>
      <c r="B164" s="989"/>
      <c r="C164" s="852" t="s">
        <v>4525</v>
      </c>
      <c r="D164" s="1019" t="s">
        <v>4673</v>
      </c>
      <c r="E164" s="995">
        <v>211</v>
      </c>
      <c r="F164" s="1120" t="s">
        <v>4819</v>
      </c>
      <c r="G164" s="1400"/>
      <c r="H164" s="1061">
        <f t="shared" si="143"/>
        <v>63401130</v>
      </c>
      <c r="I164" s="1061">
        <f t="shared" si="144"/>
        <v>397373984</v>
      </c>
      <c r="J164" s="1575">
        <v>58</v>
      </c>
      <c r="K164" s="1578">
        <v>98</v>
      </c>
      <c r="L164" s="1283">
        <v>63</v>
      </c>
      <c r="M164" s="1119">
        <v>0</v>
      </c>
      <c r="N164" s="1119">
        <v>0</v>
      </c>
      <c r="O164" s="1119">
        <v>0</v>
      </c>
      <c r="P164" s="1115">
        <v>16</v>
      </c>
      <c r="Q164" s="1115">
        <v>0</v>
      </c>
      <c r="R164" s="1115">
        <v>0</v>
      </c>
      <c r="S164" s="1120"/>
      <c r="T164" s="1120"/>
      <c r="U164" s="1120"/>
      <c r="V164" s="1120"/>
      <c r="W164" s="1120"/>
      <c r="X164" s="1120"/>
      <c r="Y164" s="1008">
        <f t="shared" si="173"/>
        <v>460775114</v>
      </c>
      <c r="Z164" s="944"/>
      <c r="AA164" s="1008"/>
      <c r="AB164" s="1008"/>
      <c r="AC164" s="1008">
        <v>420000000</v>
      </c>
      <c r="AD164" s="1008"/>
      <c r="AE164" s="1008"/>
      <c r="AF164" s="1008"/>
      <c r="AG164" s="944"/>
      <c r="AH164" s="944"/>
      <c r="AI164" s="149"/>
      <c r="AJ164" s="149"/>
      <c r="AK164" s="149"/>
      <c r="AL164" s="149"/>
      <c r="AM164" s="149"/>
      <c r="AN164" s="944"/>
      <c r="AO164" s="944"/>
      <c r="AP164" s="944"/>
      <c r="AQ164" s="944"/>
      <c r="AR164" s="944"/>
      <c r="AS164" s="1008">
        <f>37000000+3775114</f>
        <v>40775114</v>
      </c>
      <c r="AU164" s="1011">
        <f t="shared" si="103"/>
        <v>0.78585471523533712</v>
      </c>
      <c r="AV164" s="1008">
        <f t="shared" si="174"/>
        <v>362102296</v>
      </c>
      <c r="AW164" s="1008"/>
      <c r="AX164" s="1008"/>
      <c r="AY164" s="1008"/>
      <c r="AZ164" s="1008">
        <f>+'[17]SEPTIEMBRE 2015'!$M$291</f>
        <v>325102296</v>
      </c>
      <c r="BA164" s="1008"/>
      <c r="BB164" s="1008"/>
      <c r="BC164" s="1008"/>
      <c r="BD164" s="1008"/>
      <c r="BE164" s="1008"/>
      <c r="BF164" s="1008"/>
      <c r="BG164" s="1008"/>
      <c r="BH164" s="1008"/>
      <c r="BI164" s="1008"/>
      <c r="BJ164" s="1008"/>
      <c r="BK164" s="1008"/>
      <c r="BL164" s="1008"/>
      <c r="BM164" s="1008"/>
      <c r="BN164" s="1008"/>
      <c r="BO164" s="1008"/>
      <c r="BP164" s="1008">
        <f>+'[9]FEBRERO 2015'!$G$196</f>
        <v>37000000</v>
      </c>
      <c r="BQ164" s="1011">
        <f t="shared" si="105"/>
        <v>0.21414528476466288</v>
      </c>
      <c r="BR164" s="1008">
        <f t="shared" si="175"/>
        <v>98672818</v>
      </c>
      <c r="BS164" s="1008">
        <f t="shared" si="164"/>
        <v>0</v>
      </c>
      <c r="BT164" s="1008">
        <f t="shared" si="165"/>
        <v>0</v>
      </c>
      <c r="BU164" s="1008"/>
      <c r="BV164" s="1008">
        <f t="shared" si="162"/>
        <v>94897704</v>
      </c>
      <c r="BW164" s="1008">
        <f t="shared" si="162"/>
        <v>0</v>
      </c>
      <c r="BX164" s="1008">
        <f t="shared" si="166"/>
        <v>0</v>
      </c>
      <c r="BY164" s="1008">
        <f t="shared" si="166"/>
        <v>0</v>
      </c>
      <c r="BZ164" s="1008"/>
      <c r="CA164" s="1008">
        <f t="shared" si="167"/>
        <v>0</v>
      </c>
      <c r="CB164" s="1008">
        <f t="shared" si="167"/>
        <v>0</v>
      </c>
      <c r="CC164" s="1008">
        <f t="shared" si="167"/>
        <v>0</v>
      </c>
      <c r="CD164" s="1008">
        <f t="shared" si="167"/>
        <v>0</v>
      </c>
      <c r="CE164" s="1008">
        <f t="shared" si="167"/>
        <v>0</v>
      </c>
      <c r="CF164" s="1008">
        <f t="shared" si="167"/>
        <v>0</v>
      </c>
      <c r="CG164" s="1008">
        <f t="shared" si="167"/>
        <v>0</v>
      </c>
      <c r="CH164" s="1008">
        <f t="shared" si="167"/>
        <v>0</v>
      </c>
      <c r="CI164" s="1008">
        <f t="shared" si="167"/>
        <v>0</v>
      </c>
      <c r="CJ164" s="1008"/>
      <c r="CK164" s="1008">
        <f t="shared" si="168"/>
        <v>0</v>
      </c>
      <c r="CL164" s="1008">
        <f t="shared" si="168"/>
        <v>3775114</v>
      </c>
      <c r="CM164" s="1011">
        <f t="shared" si="113"/>
        <v>0.13759668886978996</v>
      </c>
      <c r="CN164" s="1008">
        <f t="shared" si="176"/>
        <v>63401130</v>
      </c>
      <c r="CO164" s="1008"/>
      <c r="CP164" s="1008"/>
      <c r="CQ164" s="1008"/>
      <c r="CR164" s="1008">
        <f>+'[18]OCTUBRE 2015'!$H$310</f>
        <v>26401136</v>
      </c>
      <c r="CS164" s="1008"/>
      <c r="CT164" s="1008"/>
      <c r="CU164" s="1008"/>
      <c r="CV164" s="1008"/>
      <c r="CW164" s="1008"/>
      <c r="CX164" s="1008"/>
      <c r="CY164" s="1008"/>
      <c r="CZ164" s="1008"/>
      <c r="DA164" s="1008"/>
      <c r="DB164" s="1008"/>
      <c r="DC164" s="1008"/>
      <c r="DD164" s="1008"/>
      <c r="DE164" s="1008"/>
      <c r="DF164" s="1008"/>
      <c r="DG164" s="1008"/>
      <c r="DH164" s="1008">
        <f>+'[17]SEPTIEMBRE 2015'!$H$292</f>
        <v>36999994</v>
      </c>
      <c r="DI164" s="1011">
        <f t="shared" si="115"/>
        <v>0.86240331113021007</v>
      </c>
      <c r="DJ164" s="1008">
        <f t="shared" si="177"/>
        <v>397373984</v>
      </c>
      <c r="DK164" s="1008"/>
      <c r="DL164" s="1008"/>
      <c r="DM164" s="1008"/>
      <c r="DN164" s="1008">
        <f t="shared" si="163"/>
        <v>393598864</v>
      </c>
      <c r="DO164" s="1008">
        <f t="shared" si="163"/>
        <v>0</v>
      </c>
      <c r="DP164" s="1008">
        <f t="shared" si="163"/>
        <v>0</v>
      </c>
      <c r="DQ164" s="1008">
        <f t="shared" si="163"/>
        <v>0</v>
      </c>
      <c r="DR164" s="1008"/>
      <c r="DS164" s="1008">
        <f t="shared" si="169"/>
        <v>0</v>
      </c>
      <c r="DT164" s="1008">
        <f t="shared" si="169"/>
        <v>0</v>
      </c>
      <c r="DU164" s="1008"/>
      <c r="DV164" s="1008">
        <f t="shared" si="170"/>
        <v>0</v>
      </c>
      <c r="DW164" s="1008">
        <f t="shared" si="170"/>
        <v>0</v>
      </c>
      <c r="DX164" s="1008">
        <f t="shared" si="170"/>
        <v>0</v>
      </c>
      <c r="DY164" s="1008">
        <f t="shared" si="171"/>
        <v>0</v>
      </c>
      <c r="DZ164" s="1008">
        <f t="shared" si="171"/>
        <v>0</v>
      </c>
      <c r="EA164" s="1008">
        <f t="shared" si="171"/>
        <v>0</v>
      </c>
      <c r="EB164" s="1008">
        <f t="shared" si="171"/>
        <v>0</v>
      </c>
      <c r="EC164" s="1008">
        <f t="shared" si="171"/>
        <v>0</v>
      </c>
      <c r="ED164" s="1008">
        <f t="shared" si="172"/>
        <v>3775120</v>
      </c>
    </row>
    <row r="165" spans="1:134" ht="81" customHeight="1" x14ac:dyDescent="0.25">
      <c r="A165" s="1560"/>
      <c r="B165" s="989"/>
      <c r="C165" s="852" t="s">
        <v>4526</v>
      </c>
      <c r="D165" s="1019" t="s">
        <v>4641</v>
      </c>
      <c r="E165" s="995">
        <v>211</v>
      </c>
      <c r="F165" s="1120" t="s">
        <v>4672</v>
      </c>
      <c r="G165" s="1400"/>
      <c r="H165" s="1061">
        <f t="shared" si="143"/>
        <v>40753510</v>
      </c>
      <c r="I165" s="1061">
        <f t="shared" si="144"/>
        <v>36453427</v>
      </c>
      <c r="J165" s="1576"/>
      <c r="K165" s="1579"/>
      <c r="L165" s="1573"/>
      <c r="M165" s="1119">
        <v>0</v>
      </c>
      <c r="N165" s="1119">
        <v>0</v>
      </c>
      <c r="O165" s="1119">
        <v>0</v>
      </c>
      <c r="P165" s="1115">
        <v>29</v>
      </c>
      <c r="Q165" s="1115">
        <v>0</v>
      </c>
      <c r="R165" s="1115">
        <v>0</v>
      </c>
      <c r="S165" s="1120"/>
      <c r="T165" s="1120"/>
      <c r="U165" s="1120"/>
      <c r="V165" s="1120"/>
      <c r="W165" s="1120"/>
      <c r="X165" s="1120"/>
      <c r="Y165" s="1008">
        <f t="shared" si="173"/>
        <v>77206937</v>
      </c>
      <c r="Z165" s="944"/>
      <c r="AA165" s="1008"/>
      <c r="AB165" s="1008"/>
      <c r="AC165" s="1008"/>
      <c r="AD165" s="1008"/>
      <c r="AE165" s="1008"/>
      <c r="AF165" s="1008"/>
      <c r="AG165" s="944"/>
      <c r="AH165" s="944"/>
      <c r="AI165" s="149"/>
      <c r="AJ165" s="149"/>
      <c r="AK165" s="149"/>
      <c r="AL165" s="149"/>
      <c r="AM165" s="149"/>
      <c r="AN165" s="944"/>
      <c r="AO165" s="944"/>
      <c r="AP165" s="944"/>
      <c r="AQ165" s="944"/>
      <c r="AR165" s="944"/>
      <c r="AS165" s="1008">
        <f>6158702+2689112+21598701+428146+6000101+7556188+25983466+3000000+3792521</f>
        <v>77206937</v>
      </c>
      <c r="AU165" s="1011">
        <f t="shared" si="103"/>
        <v>0.88700854691334274</v>
      </c>
      <c r="AV165" s="1008">
        <f t="shared" si="174"/>
        <v>68483213</v>
      </c>
      <c r="AW165" s="1008"/>
      <c r="AX165" s="1008"/>
      <c r="AY165" s="1008"/>
      <c r="AZ165" s="1008"/>
      <c r="BA165" s="1008"/>
      <c r="BB165" s="1008"/>
      <c r="BC165" s="1008"/>
      <c r="BD165" s="1008"/>
      <c r="BE165" s="1008"/>
      <c r="BF165" s="1008"/>
      <c r="BG165" s="1008"/>
      <c r="BH165" s="1008"/>
      <c r="BI165" s="1008"/>
      <c r="BJ165" s="1008"/>
      <c r="BK165" s="1008"/>
      <c r="BL165" s="1008"/>
      <c r="BM165" s="1008"/>
      <c r="BN165" s="1008"/>
      <c r="BO165" s="1008"/>
      <c r="BP165" s="1008">
        <f>+'[18]OCTUBRE 2015'!$AD$317</f>
        <v>68483213</v>
      </c>
      <c r="BQ165" s="1011">
        <f t="shared" si="105"/>
        <v>0.11299145308665726</v>
      </c>
      <c r="BR165" s="1008">
        <f t="shared" si="175"/>
        <v>8723724</v>
      </c>
      <c r="BS165" s="1008">
        <f t="shared" si="164"/>
        <v>0</v>
      </c>
      <c r="BT165" s="1008">
        <f t="shared" si="165"/>
        <v>0</v>
      </c>
      <c r="BU165" s="1008"/>
      <c r="BV165" s="1008">
        <f t="shared" si="162"/>
        <v>0</v>
      </c>
      <c r="BW165" s="1008">
        <f t="shared" si="162"/>
        <v>0</v>
      </c>
      <c r="BX165" s="1008">
        <f t="shared" si="166"/>
        <v>0</v>
      </c>
      <c r="BY165" s="1008">
        <f t="shared" si="166"/>
        <v>0</v>
      </c>
      <c r="BZ165" s="1008"/>
      <c r="CA165" s="1008">
        <f t="shared" si="167"/>
        <v>0</v>
      </c>
      <c r="CB165" s="1008">
        <f t="shared" si="167"/>
        <v>0</v>
      </c>
      <c r="CC165" s="1008">
        <f t="shared" si="167"/>
        <v>0</v>
      </c>
      <c r="CD165" s="1008">
        <f t="shared" si="167"/>
        <v>0</v>
      </c>
      <c r="CE165" s="1008">
        <f t="shared" si="167"/>
        <v>0</v>
      </c>
      <c r="CF165" s="1008">
        <f t="shared" si="167"/>
        <v>0</v>
      </c>
      <c r="CG165" s="1008">
        <f t="shared" si="167"/>
        <v>0</v>
      </c>
      <c r="CH165" s="1008">
        <f t="shared" si="167"/>
        <v>0</v>
      </c>
      <c r="CI165" s="1008">
        <f t="shared" si="167"/>
        <v>0</v>
      </c>
      <c r="CJ165" s="1008"/>
      <c r="CK165" s="1008">
        <f t="shared" si="168"/>
        <v>0</v>
      </c>
      <c r="CL165" s="1008">
        <f t="shared" si="168"/>
        <v>8723724</v>
      </c>
      <c r="CM165" s="1011">
        <f t="shared" si="113"/>
        <v>0.52784777616550183</v>
      </c>
      <c r="CN165" s="1008">
        <f t="shared" si="176"/>
        <v>40753510</v>
      </c>
      <c r="CO165" s="1008"/>
      <c r="CP165" s="1008"/>
      <c r="CQ165" s="1008"/>
      <c r="CR165" s="1008"/>
      <c r="CS165" s="1008"/>
      <c r="CT165" s="1008"/>
      <c r="CU165" s="1008"/>
      <c r="CV165" s="1008"/>
      <c r="CW165" s="1008"/>
      <c r="CX165" s="1008"/>
      <c r="CY165" s="1008"/>
      <c r="CZ165" s="1008"/>
      <c r="DA165" s="1008"/>
      <c r="DB165" s="1008"/>
      <c r="DC165" s="1008"/>
      <c r="DD165" s="1008"/>
      <c r="DE165" s="1008"/>
      <c r="DF165" s="1008"/>
      <c r="DG165" s="1008"/>
      <c r="DH165" s="1008">
        <f>+'[18]OCTUBRE 2015'!$H$315</f>
        <v>40753510</v>
      </c>
      <c r="DI165" s="1011">
        <f t="shared" si="115"/>
        <v>0.47215222383449817</v>
      </c>
      <c r="DJ165" s="1008">
        <f t="shared" si="177"/>
        <v>36453427</v>
      </c>
      <c r="DK165" s="1008"/>
      <c r="DL165" s="1008"/>
      <c r="DM165" s="1008"/>
      <c r="DN165" s="1008">
        <f t="shared" si="163"/>
        <v>0</v>
      </c>
      <c r="DO165" s="1008">
        <f t="shared" si="163"/>
        <v>0</v>
      </c>
      <c r="DP165" s="1008">
        <f t="shared" si="163"/>
        <v>0</v>
      </c>
      <c r="DQ165" s="1008">
        <f t="shared" si="163"/>
        <v>0</v>
      </c>
      <c r="DR165" s="1008"/>
      <c r="DS165" s="1008">
        <f t="shared" si="169"/>
        <v>0</v>
      </c>
      <c r="DT165" s="1008">
        <f t="shared" si="169"/>
        <v>0</v>
      </c>
      <c r="DU165" s="1008"/>
      <c r="DV165" s="1008">
        <f t="shared" si="170"/>
        <v>0</v>
      </c>
      <c r="DW165" s="1008">
        <f t="shared" si="170"/>
        <v>0</v>
      </c>
      <c r="DX165" s="1008">
        <f t="shared" si="170"/>
        <v>0</v>
      </c>
      <c r="DY165" s="1008">
        <f t="shared" si="171"/>
        <v>0</v>
      </c>
      <c r="DZ165" s="1008">
        <f t="shared" si="171"/>
        <v>0</v>
      </c>
      <c r="EA165" s="1008">
        <f t="shared" si="171"/>
        <v>0</v>
      </c>
      <c r="EB165" s="1008">
        <f t="shared" si="171"/>
        <v>0</v>
      </c>
      <c r="EC165" s="1008">
        <f t="shared" si="171"/>
        <v>0</v>
      </c>
      <c r="ED165" s="1008">
        <f t="shared" si="172"/>
        <v>36453427</v>
      </c>
    </row>
    <row r="166" spans="1:134" s="203" customFormat="1" ht="27.75" customHeight="1" x14ac:dyDescent="0.25">
      <c r="A166" s="1560"/>
      <c r="B166" s="989"/>
      <c r="C166" s="1081" t="s">
        <v>4527</v>
      </c>
      <c r="D166" s="1019" t="s">
        <v>4509</v>
      </c>
      <c r="E166" s="997">
        <v>211</v>
      </c>
      <c r="F166" s="1120" t="s">
        <v>4482</v>
      </c>
      <c r="G166" s="1400"/>
      <c r="H166" s="1061">
        <f t="shared" si="143"/>
        <v>0</v>
      </c>
      <c r="I166" s="1061">
        <f t="shared" si="144"/>
        <v>0</v>
      </c>
      <c r="J166" s="1577"/>
      <c r="K166" s="1580"/>
      <c r="L166" s="1284"/>
      <c r="M166" s="1077">
        <v>0</v>
      </c>
      <c r="N166" s="1077">
        <v>0</v>
      </c>
      <c r="O166" s="1077">
        <v>0</v>
      </c>
      <c r="P166" s="1075"/>
      <c r="Q166" s="1075"/>
      <c r="R166" s="1075"/>
      <c r="S166" s="1120"/>
      <c r="T166" s="1120"/>
      <c r="U166" s="1120"/>
      <c r="V166" s="1120"/>
      <c r="W166" s="1120"/>
      <c r="X166" s="1120"/>
      <c r="Y166" s="1067">
        <f t="shared" si="173"/>
        <v>0</v>
      </c>
      <c r="Z166" s="149"/>
      <c r="AA166" s="1067">
        <f>270014856-270014856</f>
        <v>0</v>
      </c>
      <c r="AB166" s="1067"/>
      <c r="AC166" s="1067">
        <f>65677916-65677916</f>
        <v>0</v>
      </c>
      <c r="AD166" s="1067"/>
      <c r="AE166" s="1067"/>
      <c r="AF166" s="1067">
        <f>335692772-270014856-65677916</f>
        <v>0</v>
      </c>
      <c r="AG166" s="149"/>
      <c r="AH166" s="149"/>
      <c r="AI166" s="149"/>
      <c r="AJ166" s="149"/>
      <c r="AK166" s="149"/>
      <c r="AL166" s="149"/>
      <c r="AM166" s="149"/>
      <c r="AN166" s="149"/>
      <c r="AO166" s="149"/>
      <c r="AP166" s="149"/>
      <c r="AQ166" s="149"/>
      <c r="AR166" s="149"/>
      <c r="AS166" s="149"/>
      <c r="AU166" s="1011">
        <v>0</v>
      </c>
      <c r="AV166" s="1067">
        <f t="shared" si="174"/>
        <v>0</v>
      </c>
      <c r="AW166" s="1067"/>
      <c r="AX166" s="1067"/>
      <c r="AY166" s="1067"/>
      <c r="AZ166" s="1067"/>
      <c r="BA166" s="1067"/>
      <c r="BB166" s="1067"/>
      <c r="BC166" s="1067"/>
      <c r="BD166" s="1067"/>
      <c r="BE166" s="1067"/>
      <c r="BF166" s="1067"/>
      <c r="BG166" s="1067"/>
      <c r="BH166" s="1067"/>
      <c r="BI166" s="1067"/>
      <c r="BJ166" s="1067"/>
      <c r="BK166" s="1067"/>
      <c r="BL166" s="1067"/>
      <c r="BM166" s="1067"/>
      <c r="BN166" s="1067"/>
      <c r="BO166" s="1067"/>
      <c r="BP166" s="1067"/>
      <c r="BQ166" s="1082">
        <f t="shared" ref="BQ166" si="178">SUM(BR166:CK166)</f>
        <v>0</v>
      </c>
      <c r="BR166" s="1067">
        <f t="shared" si="175"/>
        <v>0</v>
      </c>
      <c r="BS166" s="1067">
        <f t="shared" si="164"/>
        <v>0</v>
      </c>
      <c r="BT166" s="1067">
        <f t="shared" si="165"/>
        <v>0</v>
      </c>
      <c r="BU166" s="1067"/>
      <c r="BV166" s="1067">
        <f t="shared" si="162"/>
        <v>0</v>
      </c>
      <c r="BW166" s="1067">
        <f t="shared" si="162"/>
        <v>0</v>
      </c>
      <c r="BX166" s="1067">
        <f t="shared" si="166"/>
        <v>0</v>
      </c>
      <c r="BY166" s="1067">
        <f t="shared" si="166"/>
        <v>0</v>
      </c>
      <c r="BZ166" s="1067"/>
      <c r="CA166" s="1067">
        <f t="shared" si="167"/>
        <v>0</v>
      </c>
      <c r="CB166" s="1067">
        <f t="shared" si="167"/>
        <v>0</v>
      </c>
      <c r="CC166" s="1067">
        <f t="shared" si="167"/>
        <v>0</v>
      </c>
      <c r="CD166" s="1067">
        <f t="shared" si="167"/>
        <v>0</v>
      </c>
      <c r="CE166" s="1067">
        <f t="shared" si="167"/>
        <v>0</v>
      </c>
      <c r="CF166" s="1067">
        <f t="shared" si="167"/>
        <v>0</v>
      </c>
      <c r="CG166" s="1067">
        <f t="shared" si="167"/>
        <v>0</v>
      </c>
      <c r="CH166" s="1067">
        <f t="shared" si="167"/>
        <v>0</v>
      </c>
      <c r="CI166" s="1067">
        <f t="shared" si="167"/>
        <v>0</v>
      </c>
      <c r="CJ166" s="1067"/>
      <c r="CK166" s="1067">
        <f t="shared" si="168"/>
        <v>0</v>
      </c>
      <c r="CL166" s="1067">
        <f t="shared" si="168"/>
        <v>0</v>
      </c>
      <c r="CM166" s="1082">
        <v>0</v>
      </c>
      <c r="CN166" s="1008">
        <v>0</v>
      </c>
      <c r="CO166" s="1082"/>
      <c r="CP166" s="1082"/>
      <c r="CQ166" s="1082"/>
      <c r="CR166" s="1082"/>
      <c r="CS166" s="1082"/>
      <c r="CT166" s="1082"/>
      <c r="CU166" s="1082"/>
      <c r="CV166" s="1082"/>
      <c r="CW166" s="1082"/>
      <c r="CX166" s="1082"/>
      <c r="CY166" s="1082"/>
      <c r="CZ166" s="1082"/>
      <c r="DA166" s="1082"/>
      <c r="DB166" s="1082"/>
      <c r="DC166" s="1082"/>
      <c r="DD166" s="1082"/>
      <c r="DE166" s="1082"/>
      <c r="DF166" s="1082"/>
      <c r="DG166" s="1082"/>
      <c r="DH166" s="1082"/>
      <c r="DI166" s="1082">
        <f t="shared" ref="DI166" si="179">SUM(DJ166:EC166)</f>
        <v>0</v>
      </c>
      <c r="DJ166" s="1067">
        <f t="shared" si="177"/>
        <v>0</v>
      </c>
      <c r="DK166" s="1067"/>
      <c r="DL166" s="1067">
        <f>AA166-CP166</f>
        <v>0</v>
      </c>
      <c r="DM166" s="1067">
        <f>AB166-CQ166</f>
        <v>0</v>
      </c>
      <c r="DN166" s="1067">
        <f t="shared" si="163"/>
        <v>0</v>
      </c>
      <c r="DO166" s="1067">
        <f t="shared" si="163"/>
        <v>0</v>
      </c>
      <c r="DP166" s="1067">
        <f t="shared" si="163"/>
        <v>0</v>
      </c>
      <c r="DQ166" s="1067">
        <f t="shared" si="163"/>
        <v>0</v>
      </c>
      <c r="DR166" s="1067"/>
      <c r="DS166" s="1067">
        <f t="shared" si="169"/>
        <v>0</v>
      </c>
      <c r="DT166" s="1067">
        <f t="shared" si="169"/>
        <v>0</v>
      </c>
      <c r="DU166" s="1067"/>
      <c r="DV166" s="1067">
        <f t="shared" si="170"/>
        <v>0</v>
      </c>
      <c r="DW166" s="1067">
        <f t="shared" si="170"/>
        <v>0</v>
      </c>
      <c r="DX166" s="1067">
        <f t="shared" si="170"/>
        <v>0</v>
      </c>
      <c r="DY166" s="1067">
        <f t="shared" si="171"/>
        <v>0</v>
      </c>
      <c r="DZ166" s="1067">
        <f t="shared" si="171"/>
        <v>0</v>
      </c>
      <c r="EA166" s="1067">
        <f t="shared" si="171"/>
        <v>0</v>
      </c>
      <c r="EB166" s="1067">
        <f t="shared" si="171"/>
        <v>0</v>
      </c>
      <c r="EC166" s="1067">
        <f t="shared" si="171"/>
        <v>0</v>
      </c>
      <c r="ED166" s="1067">
        <f t="shared" si="172"/>
        <v>0</v>
      </c>
    </row>
    <row r="167" spans="1:134" ht="35.25" customHeight="1" x14ac:dyDescent="0.25">
      <c r="A167" s="1560"/>
      <c r="B167" s="989"/>
      <c r="C167" s="852" t="s">
        <v>4528</v>
      </c>
      <c r="D167" s="1019" t="s">
        <v>4723</v>
      </c>
      <c r="E167" s="995">
        <v>211</v>
      </c>
      <c r="F167" s="1120" t="s">
        <v>4482</v>
      </c>
      <c r="G167" s="1400"/>
      <c r="H167" s="1061">
        <f t="shared" si="143"/>
        <v>167851094</v>
      </c>
      <c r="I167" s="1061">
        <f t="shared" si="144"/>
        <v>32148906</v>
      </c>
      <c r="J167" s="1575">
        <v>120</v>
      </c>
      <c r="K167" s="1578">
        <v>600</v>
      </c>
      <c r="L167" s="1283">
        <v>168</v>
      </c>
      <c r="M167" s="1119">
        <v>0</v>
      </c>
      <c r="N167" s="1119">
        <v>0</v>
      </c>
      <c r="O167" s="1119">
        <v>0</v>
      </c>
      <c r="P167" s="1115">
        <v>51</v>
      </c>
      <c r="Q167" s="1115">
        <v>35</v>
      </c>
      <c r="R167" s="1115">
        <v>18</v>
      </c>
      <c r="S167" s="1120"/>
      <c r="T167" s="1120"/>
      <c r="U167" s="1120"/>
      <c r="V167" s="1120"/>
      <c r="W167" s="1120"/>
      <c r="X167" s="1120"/>
      <c r="Y167" s="1008">
        <f t="shared" si="173"/>
        <v>200000000</v>
      </c>
      <c r="Z167" s="944"/>
      <c r="AA167" s="1008"/>
      <c r="AB167" s="1008"/>
      <c r="AC167" s="1008">
        <f>300000000-100000000</f>
        <v>200000000</v>
      </c>
      <c r="AD167" s="1008"/>
      <c r="AE167" s="1008"/>
      <c r="AF167" s="1008">
        <f>300000000-300000000</f>
        <v>0</v>
      </c>
      <c r="AG167" s="1008"/>
      <c r="AH167" s="1008"/>
      <c r="AI167" s="1008"/>
      <c r="AJ167" s="1008"/>
      <c r="AK167" s="1008"/>
      <c r="AL167" s="1008"/>
      <c r="AM167" s="1008"/>
      <c r="AN167" s="1008"/>
      <c r="AO167" s="1008"/>
      <c r="AP167" s="1008"/>
      <c r="AQ167" s="1008"/>
      <c r="AR167" s="1008"/>
      <c r="AS167" s="1008"/>
      <c r="AT167" s="1008"/>
      <c r="AU167" s="1011">
        <f t="shared" si="103"/>
        <v>0.91125051999999995</v>
      </c>
      <c r="AV167" s="1008">
        <f t="shared" si="174"/>
        <v>182250104</v>
      </c>
      <c r="AW167" s="1008"/>
      <c r="AX167" s="1008"/>
      <c r="AY167" s="1008"/>
      <c r="AZ167" s="1008">
        <f>+'[17]SEPTIEMBRE 2015'!$M$327</f>
        <v>182250104</v>
      </c>
      <c r="BA167" s="1008"/>
      <c r="BB167" s="1008"/>
      <c r="BC167" s="1008"/>
      <c r="BD167" s="1008"/>
      <c r="BE167" s="1008"/>
      <c r="BF167" s="1008"/>
      <c r="BG167" s="1008"/>
      <c r="BH167" s="1008"/>
      <c r="BI167" s="1008"/>
      <c r="BJ167" s="1008"/>
      <c r="BK167" s="1008"/>
      <c r="BL167" s="1008"/>
      <c r="BM167" s="1008"/>
      <c r="BN167" s="1008"/>
      <c r="BO167" s="1008"/>
      <c r="BP167" s="1008"/>
      <c r="BQ167" s="1011">
        <f t="shared" si="105"/>
        <v>8.8749480000000047E-2</v>
      </c>
      <c r="BR167" s="1008">
        <f t="shared" si="175"/>
        <v>17749896</v>
      </c>
      <c r="BS167" s="1008">
        <f t="shared" si="164"/>
        <v>0</v>
      </c>
      <c r="BT167" s="1008">
        <f t="shared" si="165"/>
        <v>0</v>
      </c>
      <c r="BU167" s="1008"/>
      <c r="BV167" s="1008">
        <f t="shared" si="162"/>
        <v>17749896</v>
      </c>
      <c r="BW167" s="1008">
        <f t="shared" si="162"/>
        <v>0</v>
      </c>
      <c r="BX167" s="1008">
        <f t="shared" si="166"/>
        <v>0</v>
      </c>
      <c r="BY167" s="1008">
        <f t="shared" si="166"/>
        <v>0</v>
      </c>
      <c r="BZ167" s="1008"/>
      <c r="CA167" s="1008">
        <f t="shared" si="167"/>
        <v>0</v>
      </c>
      <c r="CB167" s="1008">
        <f t="shared" si="167"/>
        <v>0</v>
      </c>
      <c r="CC167" s="1008">
        <f t="shared" si="167"/>
        <v>0</v>
      </c>
      <c r="CD167" s="1008">
        <f t="shared" si="167"/>
        <v>0</v>
      </c>
      <c r="CE167" s="1008">
        <f t="shared" si="167"/>
        <v>0</v>
      </c>
      <c r="CF167" s="1008">
        <f t="shared" si="167"/>
        <v>0</v>
      </c>
      <c r="CG167" s="1008">
        <f t="shared" si="167"/>
        <v>0</v>
      </c>
      <c r="CH167" s="1008">
        <f t="shared" si="167"/>
        <v>0</v>
      </c>
      <c r="CI167" s="1008">
        <f t="shared" si="167"/>
        <v>0</v>
      </c>
      <c r="CJ167" s="1008"/>
      <c r="CK167" s="1008">
        <f t="shared" si="168"/>
        <v>0</v>
      </c>
      <c r="CL167" s="1008">
        <f t="shared" si="168"/>
        <v>0</v>
      </c>
      <c r="CM167" s="1011">
        <f t="shared" si="113"/>
        <v>0.83925547</v>
      </c>
      <c r="CN167" s="1008">
        <f t="shared" si="176"/>
        <v>167851094</v>
      </c>
      <c r="CO167" s="1008"/>
      <c r="CP167" s="1008"/>
      <c r="CQ167" s="1008"/>
      <c r="CR167" s="1008">
        <f>+'[16]AGOSTO 2015'!$H$305</f>
        <v>167851094</v>
      </c>
      <c r="CS167" s="1008"/>
      <c r="CT167" s="1008"/>
      <c r="CU167" s="1008"/>
      <c r="CV167" s="1008"/>
      <c r="CW167" s="1008"/>
      <c r="CX167" s="1008"/>
      <c r="CY167" s="1008"/>
      <c r="CZ167" s="1008"/>
      <c r="DA167" s="1008"/>
      <c r="DB167" s="1008"/>
      <c r="DC167" s="1008"/>
      <c r="DD167" s="1008"/>
      <c r="DE167" s="1008"/>
      <c r="DF167" s="1008"/>
      <c r="DG167" s="1008"/>
      <c r="DH167" s="1008"/>
      <c r="DI167" s="1011">
        <f t="shared" si="115"/>
        <v>0.16074453</v>
      </c>
      <c r="DJ167" s="1008">
        <f t="shared" si="177"/>
        <v>32148906</v>
      </c>
      <c r="DK167" s="1008"/>
      <c r="DL167" s="1008"/>
      <c r="DM167" s="1008"/>
      <c r="DN167" s="1008">
        <f t="shared" si="163"/>
        <v>32148906</v>
      </c>
      <c r="DO167" s="1008">
        <f t="shared" si="163"/>
        <v>0</v>
      </c>
      <c r="DP167" s="1008">
        <f t="shared" si="163"/>
        <v>0</v>
      </c>
      <c r="DQ167" s="1008">
        <f t="shared" si="163"/>
        <v>0</v>
      </c>
      <c r="DR167" s="1008"/>
      <c r="DS167" s="1008">
        <f t="shared" si="169"/>
        <v>0</v>
      </c>
      <c r="DT167" s="1008">
        <f t="shared" si="169"/>
        <v>0</v>
      </c>
      <c r="DU167" s="1008"/>
      <c r="DV167" s="1008">
        <f t="shared" si="170"/>
        <v>0</v>
      </c>
      <c r="DW167" s="1008">
        <f t="shared" si="170"/>
        <v>0</v>
      </c>
      <c r="DX167" s="1008">
        <f t="shared" si="170"/>
        <v>0</v>
      </c>
      <c r="DY167" s="1008">
        <f t="shared" si="171"/>
        <v>0</v>
      </c>
      <c r="DZ167" s="1008">
        <f t="shared" si="171"/>
        <v>0</v>
      </c>
      <c r="EA167" s="1008">
        <f t="shared" si="171"/>
        <v>0</v>
      </c>
      <c r="EB167" s="1008">
        <f t="shared" si="171"/>
        <v>0</v>
      </c>
      <c r="EC167" s="1008">
        <f t="shared" si="171"/>
        <v>0</v>
      </c>
      <c r="ED167" s="1008">
        <f t="shared" si="172"/>
        <v>0</v>
      </c>
    </row>
    <row r="168" spans="1:134" ht="55.5" customHeight="1" x14ac:dyDescent="0.25">
      <c r="A168" s="1560"/>
      <c r="B168" s="989"/>
      <c r="C168" s="852" t="s">
        <v>4529</v>
      </c>
      <c r="D168" s="1019" t="s">
        <v>4642</v>
      </c>
      <c r="E168" s="995">
        <v>211</v>
      </c>
      <c r="F168" s="1120" t="s">
        <v>4743</v>
      </c>
      <c r="G168" s="1400"/>
      <c r="H168" s="1061">
        <f t="shared" si="143"/>
        <v>220009333</v>
      </c>
      <c r="I168" s="1061">
        <f t="shared" si="144"/>
        <v>343189377</v>
      </c>
      <c r="J168" s="1576"/>
      <c r="K168" s="1579"/>
      <c r="L168" s="1573"/>
      <c r="M168" s="1115">
        <v>1</v>
      </c>
      <c r="N168" s="1115">
        <v>0</v>
      </c>
      <c r="O168" s="1115">
        <v>0</v>
      </c>
      <c r="P168" s="1115">
        <v>0</v>
      </c>
      <c r="Q168" s="1115">
        <v>0</v>
      </c>
      <c r="R168" s="1115">
        <v>0</v>
      </c>
      <c r="S168" s="1120"/>
      <c r="T168" s="1120"/>
      <c r="U168" s="1120"/>
      <c r="V168" s="1120"/>
      <c r="W168" s="1120"/>
      <c r="X168" s="1120"/>
      <c r="Y168" s="1008">
        <f t="shared" si="173"/>
        <v>563198710</v>
      </c>
      <c r="Z168" s="944"/>
      <c r="AA168" s="1008"/>
      <c r="AB168" s="1008"/>
      <c r="AC168" s="1008">
        <f>200000000+194000000-116541544+210000000</f>
        <v>487458456</v>
      </c>
      <c r="AD168" s="1008"/>
      <c r="AE168" s="1008"/>
      <c r="AF168" s="1008">
        <f>194000000-194000000</f>
        <v>0</v>
      </c>
      <c r="AG168" s="1008"/>
      <c r="AH168" s="1008"/>
      <c r="AI168" s="1008"/>
      <c r="AJ168" s="1008"/>
      <c r="AK168" s="1008"/>
      <c r="AL168" s="1008"/>
      <c r="AM168" s="1008"/>
      <c r="AN168" s="1008"/>
      <c r="AO168" s="1008"/>
      <c r="AP168" s="1008"/>
      <c r="AQ168" s="1008"/>
      <c r="AR168" s="1008"/>
      <c r="AS168" s="1008">
        <f>45131378+17223876+13385000</f>
        <v>75740254</v>
      </c>
      <c r="AT168" s="1008"/>
      <c r="AU168" s="1011">
        <f t="shared" si="103"/>
        <v>0.96941776375872735</v>
      </c>
      <c r="AV168" s="1008">
        <f t="shared" si="174"/>
        <v>545974834</v>
      </c>
      <c r="AW168" s="1008"/>
      <c r="AX168" s="1008"/>
      <c r="AY168" s="1008"/>
      <c r="AZ168" s="1008">
        <f>+'[17]SEPTIEMBRE 2015'!$M$341</f>
        <v>487458456</v>
      </c>
      <c r="BA168" s="1008"/>
      <c r="BB168" s="1008"/>
      <c r="BC168" s="1008"/>
      <c r="BD168" s="1008"/>
      <c r="BE168" s="1008"/>
      <c r="BF168" s="1008"/>
      <c r="BG168" s="1008"/>
      <c r="BH168" s="1008"/>
      <c r="BI168" s="1008"/>
      <c r="BJ168" s="1008"/>
      <c r="BK168" s="1008"/>
      <c r="BL168" s="1008"/>
      <c r="BM168" s="1008"/>
      <c r="BN168" s="1008"/>
      <c r="BO168" s="1008"/>
      <c r="BP168" s="1008">
        <f>+'[17]SEPTIEMBRE 2015'!$AD$341</f>
        <v>58516378</v>
      </c>
      <c r="BQ168" s="1011">
        <f t="shared" si="105"/>
        <v>3.0582236241272653E-2</v>
      </c>
      <c r="BR168" s="1008">
        <f t="shared" si="175"/>
        <v>17223876</v>
      </c>
      <c r="BS168" s="1008">
        <f t="shared" si="164"/>
        <v>0</v>
      </c>
      <c r="BT168" s="1008">
        <f t="shared" si="165"/>
        <v>0</v>
      </c>
      <c r="BU168" s="1008"/>
      <c r="BV168" s="1008">
        <f t="shared" si="162"/>
        <v>0</v>
      </c>
      <c r="BW168" s="1008">
        <f t="shared" si="162"/>
        <v>0</v>
      </c>
      <c r="BX168" s="1008">
        <f t="shared" si="166"/>
        <v>0</v>
      </c>
      <c r="BY168" s="1008">
        <f t="shared" si="166"/>
        <v>0</v>
      </c>
      <c r="BZ168" s="1008"/>
      <c r="CA168" s="1008">
        <f t="shared" si="167"/>
        <v>0</v>
      </c>
      <c r="CB168" s="1008">
        <f t="shared" si="167"/>
        <v>0</v>
      </c>
      <c r="CC168" s="1008">
        <f t="shared" si="167"/>
        <v>0</v>
      </c>
      <c r="CD168" s="1008">
        <f t="shared" si="167"/>
        <v>0</v>
      </c>
      <c r="CE168" s="1008">
        <f t="shared" si="167"/>
        <v>0</v>
      </c>
      <c r="CF168" s="1008">
        <f t="shared" si="167"/>
        <v>0</v>
      </c>
      <c r="CG168" s="1008">
        <f t="shared" si="167"/>
        <v>0</v>
      </c>
      <c r="CH168" s="1008">
        <f t="shared" si="167"/>
        <v>0</v>
      </c>
      <c r="CI168" s="1008">
        <f t="shared" si="167"/>
        <v>0</v>
      </c>
      <c r="CJ168" s="1008"/>
      <c r="CK168" s="1008">
        <f t="shared" si="168"/>
        <v>0</v>
      </c>
      <c r="CL168" s="1008">
        <f t="shared" si="168"/>
        <v>17223876</v>
      </c>
      <c r="CM168" s="1011">
        <f t="shared" si="113"/>
        <v>0.39064246613775094</v>
      </c>
      <c r="CN168" s="1008">
        <f t="shared" si="176"/>
        <v>220009333</v>
      </c>
      <c r="CO168" s="1008"/>
      <c r="CP168" s="1008"/>
      <c r="CQ168" s="1008"/>
      <c r="CR168" s="1008">
        <f>+'[18]OCTUBRE 2015'!$H$359+'[18]OCTUBRE 2015'!$H$367+'[18]OCTUBRE 2015'!$H$369+'[18]OCTUBRE 2015'!$H$375+'[18]OCTUBRE 2015'!$H$376</f>
        <v>192406653</v>
      </c>
      <c r="CS168" s="1008"/>
      <c r="CT168" s="1008"/>
      <c r="CU168" s="1008"/>
      <c r="CV168" s="1008"/>
      <c r="CW168" s="1008"/>
      <c r="CX168" s="1008"/>
      <c r="CY168" s="1008"/>
      <c r="CZ168" s="1008"/>
      <c r="DA168" s="1008"/>
      <c r="DB168" s="1008"/>
      <c r="DC168" s="1008"/>
      <c r="DD168" s="1008"/>
      <c r="DE168" s="1008"/>
      <c r="DF168" s="1008"/>
      <c r="DG168" s="1008"/>
      <c r="DH168" s="1008">
        <f>+'[18]OCTUBRE 2015'!$H$361+'[18]OCTUBRE 2015'!$H$363+'[18]OCTUBRE 2015'!$H$372</f>
        <v>27602680</v>
      </c>
      <c r="DI168" s="1011">
        <f t="shared" si="115"/>
        <v>0.609357533862249</v>
      </c>
      <c r="DJ168" s="1008">
        <f t="shared" si="177"/>
        <v>343189377</v>
      </c>
      <c r="DK168" s="1008"/>
      <c r="DL168" s="1008"/>
      <c r="DM168" s="1008"/>
      <c r="DN168" s="1008">
        <f t="shared" si="163"/>
        <v>295051803</v>
      </c>
      <c r="DO168" s="1008">
        <f t="shared" si="163"/>
        <v>0</v>
      </c>
      <c r="DP168" s="1008">
        <f t="shared" si="163"/>
        <v>0</v>
      </c>
      <c r="DQ168" s="1008">
        <f t="shared" si="163"/>
        <v>0</v>
      </c>
      <c r="DR168" s="1008"/>
      <c r="DS168" s="1008">
        <f t="shared" si="169"/>
        <v>0</v>
      </c>
      <c r="DT168" s="1008">
        <f t="shared" si="169"/>
        <v>0</v>
      </c>
      <c r="DU168" s="1008"/>
      <c r="DV168" s="1008">
        <f t="shared" si="170"/>
        <v>0</v>
      </c>
      <c r="DW168" s="1008">
        <f t="shared" si="170"/>
        <v>0</v>
      </c>
      <c r="DX168" s="1008">
        <f t="shared" si="170"/>
        <v>0</v>
      </c>
      <c r="DY168" s="1008">
        <f t="shared" si="171"/>
        <v>0</v>
      </c>
      <c r="DZ168" s="1008">
        <f t="shared" si="171"/>
        <v>0</v>
      </c>
      <c r="EA168" s="1008">
        <f t="shared" si="171"/>
        <v>0</v>
      </c>
      <c r="EB168" s="1008">
        <f t="shared" si="171"/>
        <v>0</v>
      </c>
      <c r="EC168" s="1008">
        <f t="shared" si="171"/>
        <v>0</v>
      </c>
      <c r="ED168" s="1008">
        <f t="shared" si="172"/>
        <v>48137574</v>
      </c>
    </row>
    <row r="169" spans="1:134" ht="36" customHeight="1" x14ac:dyDescent="0.25">
      <c r="A169" s="1560"/>
      <c r="B169" s="989"/>
      <c r="C169" s="852" t="s">
        <v>4530</v>
      </c>
      <c r="D169" s="1053" t="s">
        <v>4510</v>
      </c>
      <c r="E169" s="995">
        <v>211</v>
      </c>
      <c r="F169" s="1120" t="s">
        <v>4670</v>
      </c>
      <c r="G169" s="1400"/>
      <c r="H169" s="1061">
        <f t="shared" si="143"/>
        <v>3525240</v>
      </c>
      <c r="I169" s="1061">
        <f t="shared" si="144"/>
        <v>0</v>
      </c>
      <c r="J169" s="1577"/>
      <c r="K169" s="1580"/>
      <c r="L169" s="1284"/>
      <c r="M169" s="1115">
        <v>59</v>
      </c>
      <c r="N169" s="1115">
        <v>0</v>
      </c>
      <c r="O169" s="1115">
        <v>0</v>
      </c>
      <c r="P169" s="1115">
        <v>44</v>
      </c>
      <c r="Q169" s="1115">
        <v>60</v>
      </c>
      <c r="R169" s="1115">
        <v>26</v>
      </c>
      <c r="S169" s="1120"/>
      <c r="T169" s="1120"/>
      <c r="U169" s="1120"/>
      <c r="V169" s="1120"/>
      <c r="W169" s="1120"/>
      <c r="X169" s="1120"/>
      <c r="Y169" s="1008">
        <f t="shared" si="173"/>
        <v>3525240</v>
      </c>
      <c r="Z169" s="944"/>
      <c r="AA169" s="1008"/>
      <c r="AB169" s="1008"/>
      <c r="AC169" s="1008"/>
      <c r="AD169" s="1008"/>
      <c r="AE169" s="1008"/>
      <c r="AF169" s="1008"/>
      <c r="AG169" s="1008"/>
      <c r="AH169" s="1008"/>
      <c r="AI169" s="1008"/>
      <c r="AJ169" s="1008"/>
      <c r="AK169" s="1008"/>
      <c r="AL169" s="1008"/>
      <c r="AM169" s="1008"/>
      <c r="AN169" s="1008"/>
      <c r="AO169" s="1008"/>
      <c r="AP169" s="1008"/>
      <c r="AQ169" s="1008"/>
      <c r="AR169" s="1008"/>
      <c r="AS169" s="1008">
        <f>6000000+2000000-4474760</f>
        <v>3525240</v>
      </c>
      <c r="AT169" s="1008"/>
      <c r="AU169" s="1011">
        <f t="shared" si="103"/>
        <v>1</v>
      </c>
      <c r="AV169" s="1008">
        <f t="shared" si="174"/>
        <v>3525240</v>
      </c>
      <c r="AW169" s="1008"/>
      <c r="AX169" s="1008"/>
      <c r="AY169" s="1008"/>
      <c r="AZ169" s="1008"/>
      <c r="BA169" s="1008"/>
      <c r="BB169" s="1008"/>
      <c r="BC169" s="1008"/>
      <c r="BD169" s="1008"/>
      <c r="BE169" s="1008"/>
      <c r="BF169" s="1008"/>
      <c r="BG169" s="1008"/>
      <c r="BH169" s="1008"/>
      <c r="BI169" s="1008"/>
      <c r="BJ169" s="1008"/>
      <c r="BK169" s="1008"/>
      <c r="BL169" s="1008"/>
      <c r="BM169" s="1008"/>
      <c r="BN169" s="1008"/>
      <c r="BO169" s="1008"/>
      <c r="BP169" s="1008">
        <f>+'[16]AGOSTO 2015'!$AD$339</f>
        <v>3525240</v>
      </c>
      <c r="BQ169" s="1011">
        <f t="shared" si="105"/>
        <v>0</v>
      </c>
      <c r="BR169" s="1008">
        <f t="shared" si="175"/>
        <v>0</v>
      </c>
      <c r="BS169" s="1008">
        <f t="shared" si="164"/>
        <v>0</v>
      </c>
      <c r="BT169" s="1008">
        <f t="shared" si="165"/>
        <v>0</v>
      </c>
      <c r="BU169" s="1008"/>
      <c r="BV169" s="1008">
        <f t="shared" si="162"/>
        <v>0</v>
      </c>
      <c r="BW169" s="1008">
        <f t="shared" si="162"/>
        <v>0</v>
      </c>
      <c r="BX169" s="1008">
        <f t="shared" si="166"/>
        <v>0</v>
      </c>
      <c r="BY169" s="1008">
        <f t="shared" si="166"/>
        <v>0</v>
      </c>
      <c r="BZ169" s="1008"/>
      <c r="CA169" s="1008">
        <f t="shared" si="167"/>
        <v>0</v>
      </c>
      <c r="CB169" s="1008">
        <f t="shared" si="167"/>
        <v>0</v>
      </c>
      <c r="CC169" s="1008">
        <f t="shared" si="167"/>
        <v>0</v>
      </c>
      <c r="CD169" s="1008">
        <f t="shared" si="167"/>
        <v>0</v>
      </c>
      <c r="CE169" s="1008">
        <f t="shared" si="167"/>
        <v>0</v>
      </c>
      <c r="CF169" s="1008">
        <f t="shared" si="167"/>
        <v>0</v>
      </c>
      <c r="CG169" s="1008">
        <f t="shared" si="167"/>
        <v>0</v>
      </c>
      <c r="CH169" s="1008">
        <f t="shared" si="167"/>
        <v>0</v>
      </c>
      <c r="CI169" s="1008">
        <f t="shared" si="167"/>
        <v>0</v>
      </c>
      <c r="CJ169" s="1008"/>
      <c r="CK169" s="1008">
        <f t="shared" si="168"/>
        <v>0</v>
      </c>
      <c r="CL169" s="1008">
        <f t="shared" si="168"/>
        <v>0</v>
      </c>
      <c r="CM169" s="1011">
        <f t="shared" si="113"/>
        <v>1</v>
      </c>
      <c r="CN169" s="1008">
        <f t="shared" si="176"/>
        <v>3525240</v>
      </c>
      <c r="CO169" s="1008"/>
      <c r="CP169" s="1008"/>
      <c r="CQ169" s="1008"/>
      <c r="CR169" s="1008"/>
      <c r="CS169" s="1008"/>
      <c r="CT169" s="1008"/>
      <c r="CU169" s="1008"/>
      <c r="CV169" s="1008"/>
      <c r="CW169" s="1008"/>
      <c r="CX169" s="1008"/>
      <c r="CY169" s="1008"/>
      <c r="CZ169" s="1008"/>
      <c r="DA169" s="1008"/>
      <c r="DB169" s="1008"/>
      <c r="DC169" s="1008"/>
      <c r="DD169" s="1008"/>
      <c r="DE169" s="1008"/>
      <c r="DF169" s="1008"/>
      <c r="DG169" s="1008"/>
      <c r="DH169" s="1008">
        <f>+'[8]FEBRERO 2015'!$H$228</f>
        <v>3525240</v>
      </c>
      <c r="DI169" s="1011">
        <f t="shared" si="115"/>
        <v>0</v>
      </c>
      <c r="DJ169" s="1008">
        <f t="shared" si="177"/>
        <v>0</v>
      </c>
      <c r="DK169" s="1008"/>
      <c r="DL169" s="1008"/>
      <c r="DM169" s="1008"/>
      <c r="DN169" s="1008">
        <f t="shared" si="163"/>
        <v>0</v>
      </c>
      <c r="DO169" s="1008">
        <f t="shared" si="163"/>
        <v>0</v>
      </c>
      <c r="DP169" s="1008">
        <f t="shared" si="163"/>
        <v>0</v>
      </c>
      <c r="DQ169" s="1008">
        <f t="shared" si="163"/>
        <v>0</v>
      </c>
      <c r="DR169" s="1008"/>
      <c r="DS169" s="1008">
        <f t="shared" si="169"/>
        <v>0</v>
      </c>
      <c r="DT169" s="1008">
        <f t="shared" si="169"/>
        <v>0</v>
      </c>
      <c r="DU169" s="1008"/>
      <c r="DV169" s="1008">
        <f t="shared" si="170"/>
        <v>0</v>
      </c>
      <c r="DW169" s="1008">
        <f t="shared" si="170"/>
        <v>0</v>
      </c>
      <c r="DX169" s="1008">
        <f t="shared" si="170"/>
        <v>0</v>
      </c>
      <c r="DY169" s="1008">
        <f t="shared" si="171"/>
        <v>0</v>
      </c>
      <c r="DZ169" s="1008">
        <f t="shared" si="171"/>
        <v>0</v>
      </c>
      <c r="EA169" s="1008">
        <f t="shared" si="171"/>
        <v>0</v>
      </c>
      <c r="EB169" s="1008">
        <f t="shared" si="171"/>
        <v>0</v>
      </c>
      <c r="EC169" s="1008">
        <f t="shared" si="171"/>
        <v>0</v>
      </c>
      <c r="ED169" s="1008">
        <f t="shared" si="172"/>
        <v>0</v>
      </c>
    </row>
    <row r="170" spans="1:134" ht="29.25" customHeight="1" x14ac:dyDescent="0.25">
      <c r="A170" s="1560"/>
      <c r="B170" s="989"/>
      <c r="C170" s="852" t="s">
        <v>4531</v>
      </c>
      <c r="D170" s="1019" t="s">
        <v>4511</v>
      </c>
      <c r="E170" s="995">
        <v>211</v>
      </c>
      <c r="F170" s="1120" t="s">
        <v>4482</v>
      </c>
      <c r="G170" s="1400"/>
      <c r="H170" s="1061">
        <f t="shared" si="143"/>
        <v>293993067</v>
      </c>
      <c r="I170" s="1061">
        <f t="shared" si="144"/>
        <v>21537385</v>
      </c>
      <c r="J170" s="1399">
        <v>60</v>
      </c>
      <c r="K170" s="1283">
        <v>117</v>
      </c>
      <c r="L170" s="1283">
        <v>117</v>
      </c>
      <c r="M170" s="1115">
        <v>56</v>
      </c>
      <c r="N170" s="1115">
        <v>0</v>
      </c>
      <c r="O170" s="1115">
        <v>0</v>
      </c>
      <c r="P170" s="1115">
        <v>49</v>
      </c>
      <c r="Q170" s="1115">
        <v>51</v>
      </c>
      <c r="R170" s="1115">
        <v>25</v>
      </c>
      <c r="S170" s="1120"/>
      <c r="T170" s="1120"/>
      <c r="U170" s="1120"/>
      <c r="V170" s="1120"/>
      <c r="W170" s="1120"/>
      <c r="X170" s="1120"/>
      <c r="Y170" s="1008">
        <f t="shared" si="173"/>
        <v>315530452</v>
      </c>
      <c r="Z170" s="944"/>
      <c r="AA170" s="944"/>
      <c r="AB170" s="944"/>
      <c r="AC170" s="1008">
        <v>80000000</v>
      </c>
      <c r="AD170" s="944"/>
      <c r="AE170" s="1008">
        <v>210000000</v>
      </c>
      <c r="AF170" s="1008"/>
      <c r="AG170" s="1008"/>
      <c r="AH170" s="1008"/>
      <c r="AI170" s="1008"/>
      <c r="AJ170" s="1008"/>
      <c r="AK170" s="1008"/>
      <c r="AL170" s="1008"/>
      <c r="AM170" s="1008"/>
      <c r="AN170" s="1008"/>
      <c r="AO170" s="1008">
        <v>25530452</v>
      </c>
      <c r="AP170" s="1008"/>
      <c r="AQ170" s="1008"/>
      <c r="AR170" s="1008"/>
      <c r="AS170" s="1008"/>
      <c r="AT170" s="1008"/>
      <c r="AU170" s="1011">
        <f t="shared" si="103"/>
        <v>0.98781593670077839</v>
      </c>
      <c r="AV170" s="1008">
        <f t="shared" si="174"/>
        <v>311686009</v>
      </c>
      <c r="AW170" s="1008"/>
      <c r="AX170" s="1008"/>
      <c r="AY170" s="1008"/>
      <c r="AZ170" s="1008">
        <f>+'[18]OCTUBRE 2015'!$M$391</f>
        <v>77280360</v>
      </c>
      <c r="BA170" s="1008"/>
      <c r="BB170" s="1008">
        <f>+'[18]OCTUBRE 2015'!$O$391</f>
        <v>208875197</v>
      </c>
      <c r="BC170" s="1008"/>
      <c r="BD170" s="1008"/>
      <c r="BE170" s="1008"/>
      <c r="BF170" s="1008"/>
      <c r="BG170" s="1008"/>
      <c r="BH170" s="1008"/>
      <c r="BI170" s="1008"/>
      <c r="BJ170" s="1008"/>
      <c r="BK170" s="1008"/>
      <c r="BL170" s="1008">
        <f>+'[14]JUNIO 2015'!$Y$297</f>
        <v>25530452</v>
      </c>
      <c r="BM170" s="1008"/>
      <c r="BN170" s="1008"/>
      <c r="BO170" s="1008"/>
      <c r="BP170" s="1008"/>
      <c r="BQ170" s="1011">
        <f t="shared" si="105"/>
        <v>1.2184063299221615E-2</v>
      </c>
      <c r="BR170" s="1008">
        <f t="shared" si="175"/>
        <v>3844443</v>
      </c>
      <c r="BS170" s="1008">
        <f t="shared" si="164"/>
        <v>0</v>
      </c>
      <c r="BT170" s="1008">
        <f t="shared" si="165"/>
        <v>0</v>
      </c>
      <c r="BU170" s="1008"/>
      <c r="BV170" s="1008">
        <f t="shared" si="162"/>
        <v>2719640</v>
      </c>
      <c r="BW170" s="1008">
        <f t="shared" si="162"/>
        <v>0</v>
      </c>
      <c r="BX170" s="1008">
        <f t="shared" si="166"/>
        <v>1124803</v>
      </c>
      <c r="BY170" s="1008">
        <f t="shared" si="166"/>
        <v>0</v>
      </c>
      <c r="BZ170" s="1008"/>
      <c r="CA170" s="1008">
        <f t="shared" si="167"/>
        <v>0</v>
      </c>
      <c r="CB170" s="1008">
        <f t="shared" si="167"/>
        <v>0</v>
      </c>
      <c r="CC170" s="1008">
        <f t="shared" si="167"/>
        <v>0</v>
      </c>
      <c r="CD170" s="1008">
        <f t="shared" si="167"/>
        <v>0</v>
      </c>
      <c r="CE170" s="1008">
        <f t="shared" si="167"/>
        <v>0</v>
      </c>
      <c r="CF170" s="1008">
        <f t="shared" si="167"/>
        <v>0</v>
      </c>
      <c r="CG170" s="1008">
        <f t="shared" si="167"/>
        <v>0</v>
      </c>
      <c r="CH170" s="1008">
        <f t="shared" si="167"/>
        <v>0</v>
      </c>
      <c r="CI170" s="1008">
        <f t="shared" si="167"/>
        <v>0</v>
      </c>
      <c r="CJ170" s="1008"/>
      <c r="CK170" s="1008">
        <f t="shared" si="168"/>
        <v>0</v>
      </c>
      <c r="CL170" s="1008">
        <f t="shared" si="168"/>
        <v>0</v>
      </c>
      <c r="CM170" s="1011">
        <f t="shared" si="113"/>
        <v>0.93174229345064929</v>
      </c>
      <c r="CN170" s="1008">
        <f t="shared" si="176"/>
        <v>293993067</v>
      </c>
      <c r="CO170" s="1008"/>
      <c r="CP170" s="1008"/>
      <c r="CQ170" s="1008"/>
      <c r="CR170" s="1008">
        <f>+'[17]SEPTIEMBRE 2015'!$H$400</f>
        <v>77280360</v>
      </c>
      <c r="CS170" s="1008"/>
      <c r="CT170" s="1008">
        <f>+'[15]JULIO 2015'!$H$332+'[15]JULIO 2015'!$H$347</f>
        <v>208736238</v>
      </c>
      <c r="CU170" s="1008"/>
      <c r="CV170" s="1008"/>
      <c r="CW170" s="1008"/>
      <c r="CX170" s="1008"/>
      <c r="CY170" s="1008"/>
      <c r="CZ170" s="1008"/>
      <c r="DA170" s="1008"/>
      <c r="DB170" s="1008"/>
      <c r="DC170" s="1008"/>
      <c r="DD170" s="1008">
        <f>+'[15]JULIO 2015'!$H$358</f>
        <v>7976469</v>
      </c>
      <c r="DE170" s="1008"/>
      <c r="DF170" s="1008"/>
      <c r="DG170" s="1008"/>
      <c r="DH170" s="1008"/>
      <c r="DI170" s="1011">
        <f t="shared" si="115"/>
        <v>6.8257706549350705E-2</v>
      </c>
      <c r="DJ170" s="1008">
        <f t="shared" si="177"/>
        <v>21537385</v>
      </c>
      <c r="DK170" s="1008"/>
      <c r="DL170" s="1008"/>
      <c r="DM170" s="1008"/>
      <c r="DN170" s="1008">
        <f t="shared" si="163"/>
        <v>2719640</v>
      </c>
      <c r="DO170" s="1008">
        <f t="shared" si="163"/>
        <v>0</v>
      </c>
      <c r="DP170" s="1008">
        <f t="shared" si="163"/>
        <v>1263762</v>
      </c>
      <c r="DQ170" s="1008">
        <f t="shared" si="163"/>
        <v>0</v>
      </c>
      <c r="DR170" s="1008"/>
      <c r="DS170" s="1008">
        <f t="shared" si="169"/>
        <v>0</v>
      </c>
      <c r="DT170" s="1008">
        <f t="shared" si="169"/>
        <v>0</v>
      </c>
      <c r="DU170" s="1008"/>
      <c r="DV170" s="1008">
        <f t="shared" si="170"/>
        <v>0</v>
      </c>
      <c r="DW170" s="1008">
        <f t="shared" si="170"/>
        <v>0</v>
      </c>
      <c r="DX170" s="1008">
        <f t="shared" si="170"/>
        <v>0</v>
      </c>
      <c r="DY170" s="1008">
        <f t="shared" si="171"/>
        <v>0</v>
      </c>
      <c r="DZ170" s="1008">
        <f t="shared" si="171"/>
        <v>17553983</v>
      </c>
      <c r="EA170" s="1008">
        <f t="shared" si="171"/>
        <v>0</v>
      </c>
      <c r="EB170" s="1008">
        <f t="shared" si="171"/>
        <v>0</v>
      </c>
      <c r="EC170" s="1008">
        <f t="shared" si="171"/>
        <v>0</v>
      </c>
      <c r="ED170" s="1008">
        <f t="shared" si="172"/>
        <v>0</v>
      </c>
    </row>
    <row r="171" spans="1:134" ht="50.25" customHeight="1" x14ac:dyDescent="0.25">
      <c r="A171" s="1560"/>
      <c r="B171" s="989"/>
      <c r="C171" s="852" t="s">
        <v>4532</v>
      </c>
      <c r="D171" s="1019" t="s">
        <v>4746</v>
      </c>
      <c r="E171" s="995">
        <v>211</v>
      </c>
      <c r="F171" s="1120" t="s">
        <v>4744</v>
      </c>
      <c r="G171" s="1400"/>
      <c r="H171" s="1061">
        <f t="shared" si="143"/>
        <v>0</v>
      </c>
      <c r="I171" s="1061">
        <f t="shared" si="144"/>
        <v>5000000</v>
      </c>
      <c r="J171" s="1400"/>
      <c r="K171" s="1573"/>
      <c r="L171" s="1573"/>
      <c r="M171" s="1115">
        <v>0</v>
      </c>
      <c r="N171" s="1115">
        <v>0</v>
      </c>
      <c r="O171" s="1115">
        <v>0</v>
      </c>
      <c r="P171" s="1115">
        <v>0</v>
      </c>
      <c r="Q171" s="1115">
        <v>0</v>
      </c>
      <c r="R171" s="1115">
        <v>0</v>
      </c>
      <c r="S171" s="1120"/>
      <c r="T171" s="1120"/>
      <c r="U171" s="1120"/>
      <c r="V171" s="1120"/>
      <c r="W171" s="1120"/>
      <c r="X171" s="1120"/>
      <c r="Y171" s="1008">
        <f t="shared" si="173"/>
        <v>5000000</v>
      </c>
      <c r="Z171" s="944"/>
      <c r="AA171" s="944"/>
      <c r="AB171" s="944"/>
      <c r="AC171" s="944">
        <f>97849888-97849888</f>
        <v>0</v>
      </c>
      <c r="AD171" s="944"/>
      <c r="AE171" s="1008"/>
      <c r="AF171" s="1008">
        <f>97849888-97849888</f>
        <v>0</v>
      </c>
      <c r="AG171" s="1008"/>
      <c r="AH171" s="1008"/>
      <c r="AI171" s="1008"/>
      <c r="AJ171" s="1008"/>
      <c r="AK171" s="1008"/>
      <c r="AL171" s="1008"/>
      <c r="AM171" s="1008"/>
      <c r="AN171" s="1008"/>
      <c r="AO171" s="1008"/>
      <c r="AP171" s="1008"/>
      <c r="AQ171" s="1008"/>
      <c r="AR171" s="1008"/>
      <c r="AS171" s="1008">
        <f>5000000</f>
        <v>5000000</v>
      </c>
      <c r="AT171" s="1008"/>
      <c r="AU171" s="1011">
        <f t="shared" si="103"/>
        <v>1</v>
      </c>
      <c r="AV171" s="1008">
        <f t="shared" si="174"/>
        <v>5000000</v>
      </c>
      <c r="AW171" s="1008"/>
      <c r="AX171" s="1008"/>
      <c r="AY171" s="1008"/>
      <c r="AZ171" s="1008"/>
      <c r="BA171" s="1008"/>
      <c r="BB171" s="1008"/>
      <c r="BC171" s="1008"/>
      <c r="BD171" s="1008"/>
      <c r="BE171" s="1008"/>
      <c r="BF171" s="1008"/>
      <c r="BG171" s="1008"/>
      <c r="BH171" s="1008"/>
      <c r="BI171" s="1008"/>
      <c r="BJ171" s="1008"/>
      <c r="BK171" s="1008"/>
      <c r="BL171" s="1008"/>
      <c r="BM171" s="1008"/>
      <c r="BN171" s="1008"/>
      <c r="BO171" s="1008"/>
      <c r="BP171" s="1008">
        <f>+'[15]JULIO 2015'!$AD$363</f>
        <v>5000000</v>
      </c>
      <c r="BQ171" s="1011">
        <f t="shared" si="105"/>
        <v>0</v>
      </c>
      <c r="BR171" s="1008">
        <f t="shared" si="175"/>
        <v>0</v>
      </c>
      <c r="BS171" s="1008">
        <f t="shared" si="164"/>
        <v>0</v>
      </c>
      <c r="BT171" s="1008">
        <f t="shared" si="165"/>
        <v>0</v>
      </c>
      <c r="BU171" s="1008"/>
      <c r="BV171" s="1008">
        <f t="shared" si="162"/>
        <v>0</v>
      </c>
      <c r="BW171" s="1008">
        <f t="shared" si="162"/>
        <v>0</v>
      </c>
      <c r="BX171" s="1008">
        <f t="shared" si="166"/>
        <v>0</v>
      </c>
      <c r="BY171" s="1008">
        <f t="shared" si="166"/>
        <v>0</v>
      </c>
      <c r="BZ171" s="1008"/>
      <c r="CA171" s="1008">
        <f t="shared" si="167"/>
        <v>0</v>
      </c>
      <c r="CB171" s="1008">
        <f t="shared" si="167"/>
        <v>0</v>
      </c>
      <c r="CC171" s="1008">
        <f t="shared" si="167"/>
        <v>0</v>
      </c>
      <c r="CD171" s="1008">
        <f t="shared" si="167"/>
        <v>0</v>
      </c>
      <c r="CE171" s="1008">
        <f t="shared" si="167"/>
        <v>0</v>
      </c>
      <c r="CF171" s="1008">
        <f t="shared" si="167"/>
        <v>0</v>
      </c>
      <c r="CG171" s="1008">
        <f t="shared" si="167"/>
        <v>0</v>
      </c>
      <c r="CH171" s="1008">
        <f t="shared" si="167"/>
        <v>0</v>
      </c>
      <c r="CI171" s="1008">
        <f t="shared" si="167"/>
        <v>0</v>
      </c>
      <c r="CJ171" s="1008"/>
      <c r="CK171" s="1008">
        <f t="shared" si="168"/>
        <v>0</v>
      </c>
      <c r="CL171" s="1008">
        <f t="shared" si="168"/>
        <v>0</v>
      </c>
      <c r="CM171" s="1011">
        <f t="shared" si="113"/>
        <v>0</v>
      </c>
      <c r="CN171" s="1008">
        <f t="shared" si="176"/>
        <v>0</v>
      </c>
      <c r="CO171" s="1008"/>
      <c r="CP171" s="1008"/>
      <c r="CQ171" s="1008"/>
      <c r="CR171" s="1008"/>
      <c r="CS171" s="1008"/>
      <c r="CT171" s="1008"/>
      <c r="CU171" s="1008"/>
      <c r="CV171" s="1008"/>
      <c r="CW171" s="1008"/>
      <c r="CX171" s="1008"/>
      <c r="CY171" s="1008"/>
      <c r="CZ171" s="1008"/>
      <c r="DA171" s="1008"/>
      <c r="DB171" s="1008"/>
      <c r="DC171" s="1008"/>
      <c r="DD171" s="1008"/>
      <c r="DE171" s="1008"/>
      <c r="DF171" s="1008"/>
      <c r="DG171" s="1008"/>
      <c r="DH171" s="1008"/>
      <c r="DI171" s="1011">
        <f t="shared" si="115"/>
        <v>1</v>
      </c>
      <c r="DJ171" s="1008">
        <f t="shared" si="177"/>
        <v>5000000</v>
      </c>
      <c r="DK171" s="1008"/>
      <c r="DL171" s="1008"/>
      <c r="DM171" s="1008"/>
      <c r="DN171" s="1008">
        <f t="shared" si="163"/>
        <v>0</v>
      </c>
      <c r="DO171" s="1008">
        <f t="shared" si="163"/>
        <v>0</v>
      </c>
      <c r="DP171" s="1008">
        <f t="shared" si="163"/>
        <v>0</v>
      </c>
      <c r="DQ171" s="1008">
        <f t="shared" si="163"/>
        <v>0</v>
      </c>
      <c r="DR171" s="1008"/>
      <c r="DS171" s="1008">
        <f t="shared" si="169"/>
        <v>0</v>
      </c>
      <c r="DT171" s="1008">
        <f t="shared" si="169"/>
        <v>0</v>
      </c>
      <c r="DU171" s="1008"/>
      <c r="DV171" s="1008">
        <f t="shared" si="170"/>
        <v>0</v>
      </c>
      <c r="DW171" s="1008">
        <f t="shared" si="170"/>
        <v>0</v>
      </c>
      <c r="DX171" s="1008">
        <f t="shared" si="170"/>
        <v>0</v>
      </c>
      <c r="DY171" s="1008">
        <f t="shared" si="171"/>
        <v>0</v>
      </c>
      <c r="DZ171" s="1008">
        <f t="shared" si="171"/>
        <v>0</v>
      </c>
      <c r="EA171" s="1008">
        <f t="shared" si="171"/>
        <v>0</v>
      </c>
      <c r="EB171" s="1008">
        <f t="shared" si="171"/>
        <v>0</v>
      </c>
      <c r="EC171" s="1008">
        <f t="shared" si="171"/>
        <v>0</v>
      </c>
      <c r="ED171" s="1008">
        <f t="shared" si="172"/>
        <v>5000000</v>
      </c>
    </row>
    <row r="172" spans="1:134" ht="51.75" customHeight="1" x14ac:dyDescent="0.25">
      <c r="A172" s="1560"/>
      <c r="B172" s="989"/>
      <c r="C172" s="852" t="s">
        <v>4533</v>
      </c>
      <c r="D172" s="1019" t="s">
        <v>4537</v>
      </c>
      <c r="E172" s="995">
        <v>211</v>
      </c>
      <c r="F172" s="1120" t="s">
        <v>4512</v>
      </c>
      <c r="G172" s="1400"/>
      <c r="H172" s="1061">
        <f t="shared" si="143"/>
        <v>16564284</v>
      </c>
      <c r="I172" s="1061">
        <f t="shared" si="144"/>
        <v>25785828</v>
      </c>
      <c r="J172" s="1401"/>
      <c r="K172" s="1284"/>
      <c r="L172" s="1284"/>
      <c r="M172" s="1115">
        <v>21</v>
      </c>
      <c r="N172" s="1115">
        <v>0</v>
      </c>
      <c r="O172" s="1115">
        <v>0</v>
      </c>
      <c r="P172" s="1115">
        <v>10</v>
      </c>
      <c r="Q172" s="1115">
        <v>20</v>
      </c>
      <c r="R172" s="1115">
        <v>2</v>
      </c>
      <c r="S172" s="1120"/>
      <c r="T172" s="1120"/>
      <c r="U172" s="1120"/>
      <c r="V172" s="1120"/>
      <c r="W172" s="1120"/>
      <c r="X172" s="1120"/>
      <c r="Y172" s="1008">
        <f t="shared" si="173"/>
        <v>42350112</v>
      </c>
      <c r="Z172" s="944"/>
      <c r="AA172" s="1008"/>
      <c r="AB172" s="1008"/>
      <c r="AC172" s="1008"/>
      <c r="AD172" s="1008"/>
      <c r="AE172" s="1008"/>
      <c r="AF172" s="1008"/>
      <c r="AG172" s="1008"/>
      <c r="AH172" s="1008"/>
      <c r="AI172" s="1008"/>
      <c r="AJ172" s="1008"/>
      <c r="AK172" s="1008"/>
      <c r="AL172" s="1008"/>
      <c r="AM172" s="1008"/>
      <c r="AN172" s="1008"/>
      <c r="AO172" s="1008"/>
      <c r="AP172" s="1008"/>
      <c r="AQ172" s="1008"/>
      <c r="AR172" s="1008"/>
      <c r="AS172" s="1008">
        <f>8134775+1015337+11000000+21000000+1200000</f>
        <v>42350112</v>
      </c>
      <c r="AT172" s="1008"/>
      <c r="AU172" s="1011">
        <f t="shared" si="103"/>
        <v>0.57491994354111742</v>
      </c>
      <c r="AV172" s="1008">
        <f t="shared" si="174"/>
        <v>24347924</v>
      </c>
      <c r="AW172" s="1008"/>
      <c r="AX172" s="1008"/>
      <c r="AY172" s="1008"/>
      <c r="AZ172" s="1008"/>
      <c r="BA172" s="1008"/>
      <c r="BB172" s="1008"/>
      <c r="BC172" s="1008"/>
      <c r="BD172" s="1008"/>
      <c r="BE172" s="1008"/>
      <c r="BF172" s="1008"/>
      <c r="BG172" s="1008"/>
      <c r="BH172" s="1008"/>
      <c r="BI172" s="1008"/>
      <c r="BJ172" s="1008"/>
      <c r="BK172" s="1008"/>
      <c r="BL172" s="1008"/>
      <c r="BM172" s="1008"/>
      <c r="BN172" s="1008"/>
      <c r="BO172" s="1008"/>
      <c r="BP172" s="1008">
        <f>+'[17]SEPTIEMBRE 2015'!$AD$411</f>
        <v>24347924</v>
      </c>
      <c r="BQ172" s="1011">
        <f t="shared" si="105"/>
        <v>0.42508005645888258</v>
      </c>
      <c r="BR172" s="1008">
        <f t="shared" si="175"/>
        <v>18002188</v>
      </c>
      <c r="BS172" s="1008">
        <f t="shared" si="164"/>
        <v>0</v>
      </c>
      <c r="BT172" s="1008">
        <f t="shared" si="165"/>
        <v>0</v>
      </c>
      <c r="BU172" s="1008"/>
      <c r="BV172" s="1008">
        <f t="shared" si="162"/>
        <v>0</v>
      </c>
      <c r="BW172" s="1008">
        <f t="shared" si="162"/>
        <v>0</v>
      </c>
      <c r="BX172" s="1008">
        <f t="shared" si="166"/>
        <v>0</v>
      </c>
      <c r="BY172" s="1008">
        <f t="shared" si="166"/>
        <v>0</v>
      </c>
      <c r="BZ172" s="1008"/>
      <c r="CA172" s="1008">
        <f t="shared" si="167"/>
        <v>0</v>
      </c>
      <c r="CB172" s="1008">
        <f t="shared" si="167"/>
        <v>0</v>
      </c>
      <c r="CC172" s="1008">
        <f t="shared" si="167"/>
        <v>0</v>
      </c>
      <c r="CD172" s="1008">
        <f t="shared" si="167"/>
        <v>0</v>
      </c>
      <c r="CE172" s="1008">
        <f t="shared" si="167"/>
        <v>0</v>
      </c>
      <c r="CF172" s="1008">
        <f t="shared" si="167"/>
        <v>0</v>
      </c>
      <c r="CG172" s="1008">
        <f t="shared" si="167"/>
        <v>0</v>
      </c>
      <c r="CH172" s="1008">
        <f t="shared" si="167"/>
        <v>0</v>
      </c>
      <c r="CI172" s="1008">
        <f t="shared" si="167"/>
        <v>0</v>
      </c>
      <c r="CJ172" s="1008"/>
      <c r="CK172" s="1008">
        <f t="shared" si="168"/>
        <v>0</v>
      </c>
      <c r="CL172" s="1008">
        <f t="shared" si="168"/>
        <v>18002188</v>
      </c>
      <c r="CM172" s="1011">
        <f t="shared" si="113"/>
        <v>0.39112727730212377</v>
      </c>
      <c r="CN172" s="1008">
        <f t="shared" si="176"/>
        <v>16564284</v>
      </c>
      <c r="CO172" s="1008"/>
      <c r="CP172" s="1008"/>
      <c r="CQ172" s="1008"/>
      <c r="CR172" s="1008"/>
      <c r="CS172" s="1008"/>
      <c r="CT172" s="1008"/>
      <c r="CU172" s="1008"/>
      <c r="CV172" s="1008"/>
      <c r="CW172" s="1008"/>
      <c r="CX172" s="1008"/>
      <c r="CY172" s="1008"/>
      <c r="CZ172" s="1008"/>
      <c r="DA172" s="1008"/>
      <c r="DB172" s="1008"/>
      <c r="DC172" s="1008"/>
      <c r="DD172" s="1008"/>
      <c r="DE172" s="1008"/>
      <c r="DF172" s="1008"/>
      <c r="DG172" s="1008"/>
      <c r="DH172" s="1008">
        <f>+'[18]OCTUBRE 2015'!$H$429</f>
        <v>16564284</v>
      </c>
      <c r="DI172" s="1011">
        <f t="shared" si="115"/>
        <v>0.60887272269787629</v>
      </c>
      <c r="DJ172" s="1008">
        <f t="shared" si="177"/>
        <v>25785828</v>
      </c>
      <c r="DK172" s="1008"/>
      <c r="DL172" s="1008"/>
      <c r="DM172" s="1008"/>
      <c r="DN172" s="1008">
        <f t="shared" si="163"/>
        <v>0</v>
      </c>
      <c r="DO172" s="1008">
        <f t="shared" si="163"/>
        <v>0</v>
      </c>
      <c r="DP172" s="1008">
        <f t="shared" si="163"/>
        <v>0</v>
      </c>
      <c r="DQ172" s="1008">
        <f t="shared" si="163"/>
        <v>0</v>
      </c>
      <c r="DR172" s="1008"/>
      <c r="DS172" s="1008">
        <f t="shared" si="169"/>
        <v>0</v>
      </c>
      <c r="DT172" s="1008">
        <f t="shared" si="169"/>
        <v>0</v>
      </c>
      <c r="DU172" s="1008"/>
      <c r="DV172" s="1008">
        <f t="shared" si="170"/>
        <v>0</v>
      </c>
      <c r="DW172" s="1008">
        <f t="shared" si="170"/>
        <v>0</v>
      </c>
      <c r="DX172" s="1008">
        <f t="shared" si="170"/>
        <v>0</v>
      </c>
      <c r="DY172" s="1008">
        <f t="shared" si="171"/>
        <v>0</v>
      </c>
      <c r="DZ172" s="1008">
        <f t="shared" si="171"/>
        <v>0</v>
      </c>
      <c r="EA172" s="1008">
        <f t="shared" si="171"/>
        <v>0</v>
      </c>
      <c r="EB172" s="1008">
        <f t="shared" si="171"/>
        <v>0</v>
      </c>
      <c r="EC172" s="1008">
        <f t="shared" si="171"/>
        <v>0</v>
      </c>
      <c r="ED172" s="1008">
        <f t="shared" si="172"/>
        <v>25785828</v>
      </c>
    </row>
    <row r="173" spans="1:134" ht="51.75" customHeight="1" x14ac:dyDescent="0.25">
      <c r="A173" s="1560"/>
      <c r="B173" s="989"/>
      <c r="C173" s="852" t="s">
        <v>4679</v>
      </c>
      <c r="D173" s="1019" t="s">
        <v>4682</v>
      </c>
      <c r="E173" s="995">
        <v>211</v>
      </c>
      <c r="F173" s="1120" t="s">
        <v>4482</v>
      </c>
      <c r="G173" s="1400"/>
      <c r="H173" s="1061">
        <f t="shared" si="143"/>
        <v>0</v>
      </c>
      <c r="I173" s="1061">
        <f t="shared" si="144"/>
        <v>92524043</v>
      </c>
      <c r="J173" s="1399">
        <v>0</v>
      </c>
      <c r="K173" s="1583">
        <v>1</v>
      </c>
      <c r="L173" s="1283">
        <v>100</v>
      </c>
      <c r="M173" s="1115">
        <v>0</v>
      </c>
      <c r="N173" s="1115">
        <v>0</v>
      </c>
      <c r="O173" s="1115">
        <v>0</v>
      </c>
      <c r="P173" s="1115">
        <v>0</v>
      </c>
      <c r="Q173" s="1115">
        <v>0</v>
      </c>
      <c r="R173" s="1115">
        <v>0</v>
      </c>
      <c r="S173" s="1120"/>
      <c r="T173" s="1120"/>
      <c r="U173" s="1120"/>
      <c r="V173" s="1120"/>
      <c r="W173" s="1120"/>
      <c r="X173" s="1120"/>
      <c r="Y173" s="1008">
        <f t="shared" si="173"/>
        <v>92524043</v>
      </c>
      <c r="Z173" s="944"/>
      <c r="AA173" s="1008"/>
      <c r="AB173" s="1008"/>
      <c r="AC173" s="1008"/>
      <c r="AD173" s="1008"/>
      <c r="AE173" s="1008"/>
      <c r="AF173" s="1008"/>
      <c r="AG173" s="1008"/>
      <c r="AH173" s="1008"/>
      <c r="AI173" s="1008"/>
      <c r="AJ173" s="1008"/>
      <c r="AK173" s="1008"/>
      <c r="AL173" s="1008"/>
      <c r="AM173" s="1008"/>
      <c r="AN173" s="1008"/>
      <c r="AO173" s="1008"/>
      <c r="AP173" s="1008"/>
      <c r="AQ173" s="1008"/>
      <c r="AR173" s="1008">
        <v>92524043</v>
      </c>
      <c r="AS173" s="1008"/>
      <c r="AT173" s="1008"/>
      <c r="AU173" s="1011">
        <f t="shared" si="103"/>
        <v>1</v>
      </c>
      <c r="AV173" s="1008">
        <f t="shared" si="174"/>
        <v>92524043</v>
      </c>
      <c r="AW173" s="1008"/>
      <c r="AX173" s="1008"/>
      <c r="AY173" s="1008"/>
      <c r="AZ173" s="1008"/>
      <c r="BA173" s="1008"/>
      <c r="BB173" s="1008"/>
      <c r="BC173" s="1008"/>
      <c r="BD173" s="1008"/>
      <c r="BE173" s="1008"/>
      <c r="BF173" s="1008"/>
      <c r="BG173" s="1008"/>
      <c r="BH173" s="1008"/>
      <c r="BI173" s="1008"/>
      <c r="BJ173" s="1008"/>
      <c r="BK173" s="1008"/>
      <c r="BL173" s="1008"/>
      <c r="BM173" s="1008"/>
      <c r="BN173" s="1008"/>
      <c r="BO173" s="1008">
        <f>+'[16]AGOSTO 2015'!$AC$401</f>
        <v>92524043</v>
      </c>
      <c r="BP173" s="1008"/>
      <c r="BQ173" s="1011">
        <f t="shared" si="105"/>
        <v>0</v>
      </c>
      <c r="BR173" s="1008">
        <f t="shared" si="175"/>
        <v>0</v>
      </c>
      <c r="BS173" s="1008">
        <f t="shared" si="164"/>
        <v>0</v>
      </c>
      <c r="BT173" s="1008">
        <f t="shared" si="165"/>
        <v>0</v>
      </c>
      <c r="BU173" s="1008"/>
      <c r="BV173" s="1008">
        <f t="shared" si="162"/>
        <v>0</v>
      </c>
      <c r="BW173" s="1008">
        <f t="shared" si="162"/>
        <v>0</v>
      </c>
      <c r="BX173" s="1008">
        <f t="shared" si="166"/>
        <v>0</v>
      </c>
      <c r="BY173" s="1008">
        <f t="shared" si="166"/>
        <v>0</v>
      </c>
      <c r="BZ173" s="1008"/>
      <c r="CA173" s="1008">
        <f t="shared" si="167"/>
        <v>0</v>
      </c>
      <c r="CB173" s="1008">
        <f t="shared" si="167"/>
        <v>0</v>
      </c>
      <c r="CC173" s="1008">
        <f t="shared" si="167"/>
        <v>0</v>
      </c>
      <c r="CD173" s="1008">
        <f t="shared" si="167"/>
        <v>0</v>
      </c>
      <c r="CE173" s="1008">
        <f t="shared" si="167"/>
        <v>0</v>
      </c>
      <c r="CF173" s="1008">
        <f t="shared" si="167"/>
        <v>0</v>
      </c>
      <c r="CG173" s="1008">
        <f t="shared" si="167"/>
        <v>0</v>
      </c>
      <c r="CH173" s="1008">
        <f t="shared" si="167"/>
        <v>0</v>
      </c>
      <c r="CI173" s="1008">
        <f t="shared" si="167"/>
        <v>0</v>
      </c>
      <c r="CJ173" s="1008"/>
      <c r="CK173" s="1008">
        <f t="shared" si="168"/>
        <v>0</v>
      </c>
      <c r="CL173" s="1008">
        <f t="shared" si="168"/>
        <v>0</v>
      </c>
      <c r="CM173" s="1011">
        <f t="shared" si="113"/>
        <v>0</v>
      </c>
      <c r="CN173" s="1008">
        <f t="shared" si="176"/>
        <v>0</v>
      </c>
      <c r="CO173" s="1008"/>
      <c r="CP173" s="1008"/>
      <c r="CQ173" s="1008"/>
      <c r="CR173" s="1008"/>
      <c r="CS173" s="1008"/>
      <c r="CT173" s="1008"/>
      <c r="CU173" s="1008"/>
      <c r="CV173" s="1008"/>
      <c r="CW173" s="1008"/>
      <c r="CX173" s="1008"/>
      <c r="CY173" s="1008"/>
      <c r="CZ173" s="1008"/>
      <c r="DA173" s="1008"/>
      <c r="DB173" s="1008"/>
      <c r="DC173" s="1008"/>
      <c r="DD173" s="1008"/>
      <c r="DE173" s="1008"/>
      <c r="DF173" s="1008"/>
      <c r="DG173" s="1008"/>
      <c r="DH173" s="1008"/>
      <c r="DI173" s="1011">
        <f t="shared" si="115"/>
        <v>1</v>
      </c>
      <c r="DJ173" s="1008">
        <f t="shared" si="177"/>
        <v>92524043</v>
      </c>
      <c r="DK173" s="1008"/>
      <c r="DL173" s="1008"/>
      <c r="DM173" s="1008"/>
      <c r="DN173" s="1008">
        <f t="shared" si="163"/>
        <v>0</v>
      </c>
      <c r="DO173" s="1008">
        <f t="shared" si="163"/>
        <v>0</v>
      </c>
      <c r="DP173" s="1008">
        <f t="shared" si="163"/>
        <v>0</v>
      </c>
      <c r="DQ173" s="1008">
        <f t="shared" si="163"/>
        <v>0</v>
      </c>
      <c r="DR173" s="1008"/>
      <c r="DS173" s="1008">
        <f t="shared" si="169"/>
        <v>0</v>
      </c>
      <c r="DT173" s="1008">
        <f t="shared" si="169"/>
        <v>0</v>
      </c>
      <c r="DU173" s="1008"/>
      <c r="DV173" s="1008">
        <f t="shared" si="170"/>
        <v>0</v>
      </c>
      <c r="DW173" s="1008">
        <f t="shared" si="170"/>
        <v>0</v>
      </c>
      <c r="DX173" s="1008">
        <f t="shared" si="170"/>
        <v>0</v>
      </c>
      <c r="DY173" s="1008">
        <f t="shared" si="171"/>
        <v>0</v>
      </c>
      <c r="DZ173" s="1008">
        <f t="shared" si="171"/>
        <v>0</v>
      </c>
      <c r="EA173" s="1008">
        <f t="shared" si="171"/>
        <v>0</v>
      </c>
      <c r="EB173" s="1008">
        <f t="shared" si="171"/>
        <v>0</v>
      </c>
      <c r="EC173" s="1008">
        <f t="shared" si="171"/>
        <v>92524043</v>
      </c>
      <c r="ED173" s="1008">
        <f t="shared" si="172"/>
        <v>0</v>
      </c>
    </row>
    <row r="174" spans="1:134" s="203" customFormat="1" ht="36" customHeight="1" x14ac:dyDescent="0.25">
      <c r="A174" s="1560"/>
      <c r="B174" s="989"/>
      <c r="C174" s="1081" t="s">
        <v>4708</v>
      </c>
      <c r="D174" s="1019" t="s">
        <v>4709</v>
      </c>
      <c r="E174" s="997">
        <v>211</v>
      </c>
      <c r="F174" s="1120" t="s">
        <v>4482</v>
      </c>
      <c r="G174" s="1400"/>
      <c r="H174" s="1061">
        <f t="shared" si="143"/>
        <v>0</v>
      </c>
      <c r="I174" s="1061">
        <f t="shared" si="144"/>
        <v>0</v>
      </c>
      <c r="J174" s="1400"/>
      <c r="K174" s="1584"/>
      <c r="L174" s="1573"/>
      <c r="M174" s="1075">
        <v>0</v>
      </c>
      <c r="N174" s="1075">
        <v>0</v>
      </c>
      <c r="O174" s="1075">
        <v>0</v>
      </c>
      <c r="P174" s="1075"/>
      <c r="Q174" s="1075"/>
      <c r="R174" s="1075"/>
      <c r="S174" s="1120"/>
      <c r="T174" s="1120"/>
      <c r="U174" s="1120"/>
      <c r="V174" s="1120"/>
      <c r="W174" s="1120"/>
      <c r="X174" s="1120"/>
      <c r="Y174" s="1067">
        <f t="shared" si="173"/>
        <v>0</v>
      </c>
      <c r="Z174" s="149"/>
      <c r="AA174" s="1067"/>
      <c r="AB174" s="1067"/>
      <c r="AC174" s="1067">
        <f>31000000-31000000</f>
        <v>0</v>
      </c>
      <c r="AD174" s="1067"/>
      <c r="AE174" s="1067"/>
      <c r="AF174" s="1067"/>
      <c r="AG174" s="1067"/>
      <c r="AH174" s="1067"/>
      <c r="AI174" s="1067"/>
      <c r="AJ174" s="1067"/>
      <c r="AK174" s="1067"/>
      <c r="AL174" s="1067"/>
      <c r="AM174" s="1067"/>
      <c r="AN174" s="1067"/>
      <c r="AO174" s="1067"/>
      <c r="AP174" s="1067"/>
      <c r="AQ174" s="1067"/>
      <c r="AR174" s="1067"/>
      <c r="AS174" s="1067"/>
      <c r="AT174" s="1067"/>
      <c r="AU174" s="1082" t="e">
        <f t="shared" si="103"/>
        <v>#DIV/0!</v>
      </c>
      <c r="AV174" s="1067">
        <f t="shared" si="174"/>
        <v>0</v>
      </c>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82" t="e">
        <f t="shared" si="105"/>
        <v>#DIV/0!</v>
      </c>
      <c r="BR174" s="1067">
        <f t="shared" si="175"/>
        <v>0</v>
      </c>
      <c r="BS174" s="1067"/>
      <c r="BT174" s="1067"/>
      <c r="BU174" s="1067"/>
      <c r="BV174" s="1067">
        <f t="shared" si="162"/>
        <v>0</v>
      </c>
      <c r="BW174" s="1067"/>
      <c r="BX174" s="1067"/>
      <c r="BY174" s="1067"/>
      <c r="BZ174" s="1067"/>
      <c r="CA174" s="1067"/>
      <c r="CB174" s="1067"/>
      <c r="CC174" s="1067"/>
      <c r="CD174" s="1067"/>
      <c r="CE174" s="1067"/>
      <c r="CF174" s="1067"/>
      <c r="CG174" s="1067"/>
      <c r="CH174" s="1067"/>
      <c r="CI174" s="1067"/>
      <c r="CJ174" s="1067"/>
      <c r="CK174" s="1067"/>
      <c r="CL174" s="1067"/>
      <c r="CM174" s="1082" t="e">
        <f t="shared" si="113"/>
        <v>#DIV/0!</v>
      </c>
      <c r="CN174" s="1067">
        <f t="shared" si="176"/>
        <v>0</v>
      </c>
      <c r="CO174" s="1067"/>
      <c r="CP174" s="1067"/>
      <c r="CQ174" s="1067"/>
      <c r="CR174" s="1067"/>
      <c r="CS174" s="1067"/>
      <c r="CT174" s="1067"/>
      <c r="CU174" s="1067"/>
      <c r="CV174" s="1067"/>
      <c r="CW174" s="1067"/>
      <c r="CX174" s="1067"/>
      <c r="CY174" s="1067"/>
      <c r="CZ174" s="1067"/>
      <c r="DA174" s="1067"/>
      <c r="DB174" s="1067"/>
      <c r="DC174" s="1067"/>
      <c r="DD174" s="1067"/>
      <c r="DE174" s="1067"/>
      <c r="DF174" s="1067"/>
      <c r="DG174" s="1067"/>
      <c r="DH174" s="1067"/>
      <c r="DI174" s="1082" t="e">
        <f t="shared" si="115"/>
        <v>#DIV/0!</v>
      </c>
      <c r="DJ174" s="1067">
        <f t="shared" si="177"/>
        <v>0</v>
      </c>
      <c r="DK174" s="1067"/>
      <c r="DL174" s="1067"/>
      <c r="DM174" s="1067"/>
      <c r="DN174" s="1067">
        <f t="shared" si="163"/>
        <v>0</v>
      </c>
      <c r="DO174" s="1067"/>
      <c r="DP174" s="1067"/>
      <c r="DQ174" s="1067"/>
      <c r="DR174" s="1067"/>
      <c r="DS174" s="1067"/>
      <c r="DT174" s="1067"/>
      <c r="DU174" s="1067"/>
      <c r="DV174" s="1067"/>
      <c r="DW174" s="1067"/>
      <c r="DX174" s="1067"/>
      <c r="DY174" s="1067"/>
      <c r="DZ174" s="1067"/>
      <c r="EA174" s="1067"/>
      <c r="EB174" s="1067"/>
      <c r="EC174" s="1067"/>
      <c r="ED174" s="1067"/>
    </row>
    <row r="175" spans="1:134" s="203" customFormat="1" ht="31.5" customHeight="1" x14ac:dyDescent="0.25">
      <c r="A175" s="1560"/>
      <c r="B175" s="989"/>
      <c r="C175" s="1081" t="s">
        <v>4712</v>
      </c>
      <c r="D175" s="1019" t="s">
        <v>4713</v>
      </c>
      <c r="E175" s="997">
        <v>211</v>
      </c>
      <c r="F175" s="1120" t="s">
        <v>4482</v>
      </c>
      <c r="G175" s="1400"/>
      <c r="H175" s="1061">
        <f t="shared" si="143"/>
        <v>0</v>
      </c>
      <c r="I175" s="1061">
        <f t="shared" si="144"/>
        <v>0</v>
      </c>
      <c r="J175" s="1400"/>
      <c r="K175" s="1584"/>
      <c r="L175" s="1573"/>
      <c r="M175" s="1075">
        <v>0</v>
      </c>
      <c r="N175" s="1075">
        <v>0</v>
      </c>
      <c r="O175" s="1075">
        <v>0</v>
      </c>
      <c r="P175" s="1075"/>
      <c r="Q175" s="1075"/>
      <c r="R175" s="1075"/>
      <c r="S175" s="1120"/>
      <c r="T175" s="1120"/>
      <c r="U175" s="1120"/>
      <c r="V175" s="1120"/>
      <c r="W175" s="1120"/>
      <c r="X175" s="1120"/>
      <c r="Y175" s="1067">
        <f t="shared" si="173"/>
        <v>0</v>
      </c>
      <c r="Z175" s="149"/>
      <c r="AA175" s="1067"/>
      <c r="AB175" s="1067"/>
      <c r="AC175" s="1067">
        <f>100000000-100000000</f>
        <v>0</v>
      </c>
      <c r="AD175" s="1067"/>
      <c r="AE175" s="1067"/>
      <c r="AF175" s="1067"/>
      <c r="AG175" s="1067"/>
      <c r="AH175" s="1067"/>
      <c r="AI175" s="1067"/>
      <c r="AJ175" s="1067"/>
      <c r="AK175" s="1067"/>
      <c r="AL175" s="1067"/>
      <c r="AM175" s="1067"/>
      <c r="AN175" s="1067"/>
      <c r="AO175" s="1067"/>
      <c r="AP175" s="1067"/>
      <c r="AQ175" s="1067"/>
      <c r="AR175" s="1067"/>
      <c r="AS175" s="1067"/>
      <c r="AT175" s="1067"/>
      <c r="AU175" s="1082" t="e">
        <f t="shared" si="103"/>
        <v>#DIV/0!</v>
      </c>
      <c r="AV175" s="1067">
        <f t="shared" si="174"/>
        <v>0</v>
      </c>
      <c r="AW175" s="1067"/>
      <c r="AX175" s="1067"/>
      <c r="AY175" s="1067"/>
      <c r="AZ175" s="1067"/>
      <c r="BA175" s="1067"/>
      <c r="BB175" s="1067"/>
      <c r="BC175" s="1067"/>
      <c r="BD175" s="1067"/>
      <c r="BE175" s="1067"/>
      <c r="BF175" s="1067"/>
      <c r="BG175" s="1067"/>
      <c r="BH175" s="1067"/>
      <c r="BI175" s="1067"/>
      <c r="BJ175" s="1067"/>
      <c r="BK175" s="1067"/>
      <c r="BL175" s="1067"/>
      <c r="BM175" s="1067"/>
      <c r="BN175" s="1067"/>
      <c r="BO175" s="1067"/>
      <c r="BP175" s="1067"/>
      <c r="BQ175" s="1082" t="e">
        <f t="shared" si="105"/>
        <v>#DIV/0!</v>
      </c>
      <c r="BR175" s="1067">
        <f t="shared" si="175"/>
        <v>0</v>
      </c>
      <c r="BS175" s="1067"/>
      <c r="BT175" s="1067"/>
      <c r="BU175" s="1067"/>
      <c r="BV175" s="1067">
        <f t="shared" si="162"/>
        <v>0</v>
      </c>
      <c r="BW175" s="1067"/>
      <c r="BX175" s="1067"/>
      <c r="BY175" s="1067"/>
      <c r="BZ175" s="1067"/>
      <c r="CA175" s="1067"/>
      <c r="CB175" s="1067"/>
      <c r="CC175" s="1067"/>
      <c r="CD175" s="1067"/>
      <c r="CE175" s="1067"/>
      <c r="CF175" s="1067"/>
      <c r="CG175" s="1067"/>
      <c r="CH175" s="1067"/>
      <c r="CI175" s="1067"/>
      <c r="CJ175" s="1067"/>
      <c r="CK175" s="1067"/>
      <c r="CL175" s="1067"/>
      <c r="CM175" s="1082" t="e">
        <f t="shared" si="113"/>
        <v>#DIV/0!</v>
      </c>
      <c r="CN175" s="1067">
        <f t="shared" si="176"/>
        <v>0</v>
      </c>
      <c r="CO175" s="1067"/>
      <c r="CP175" s="1067"/>
      <c r="CQ175" s="1067"/>
      <c r="CR175" s="1067"/>
      <c r="CS175" s="1067"/>
      <c r="CT175" s="1067"/>
      <c r="CU175" s="1067"/>
      <c r="CV175" s="1067"/>
      <c r="CW175" s="1067"/>
      <c r="CX175" s="1067"/>
      <c r="CY175" s="1067"/>
      <c r="CZ175" s="1067"/>
      <c r="DA175" s="1067"/>
      <c r="DB175" s="1067"/>
      <c r="DC175" s="1067"/>
      <c r="DD175" s="1067"/>
      <c r="DE175" s="1067"/>
      <c r="DF175" s="1067"/>
      <c r="DG175" s="1067"/>
      <c r="DH175" s="1067"/>
      <c r="DI175" s="1082" t="e">
        <f t="shared" si="115"/>
        <v>#DIV/0!</v>
      </c>
      <c r="DJ175" s="1067">
        <f t="shared" si="177"/>
        <v>0</v>
      </c>
      <c r="DK175" s="1067"/>
      <c r="DL175" s="1067"/>
      <c r="DM175" s="1067"/>
      <c r="DN175" s="1067">
        <f t="shared" si="163"/>
        <v>0</v>
      </c>
      <c r="DO175" s="1067"/>
      <c r="DP175" s="1067"/>
      <c r="DQ175" s="1067"/>
      <c r="DR175" s="1067"/>
      <c r="DS175" s="1067"/>
      <c r="DT175" s="1067"/>
      <c r="DU175" s="1067"/>
      <c r="DV175" s="1067"/>
      <c r="DW175" s="1067"/>
      <c r="DX175" s="1067"/>
      <c r="DY175" s="1067"/>
      <c r="DZ175" s="1067"/>
      <c r="EA175" s="1067"/>
      <c r="EB175" s="1067"/>
      <c r="EC175" s="1067"/>
      <c r="ED175" s="1067"/>
    </row>
    <row r="176" spans="1:134" s="203" customFormat="1" ht="24" customHeight="1" x14ac:dyDescent="0.25">
      <c r="A176" s="1560"/>
      <c r="B176" s="989"/>
      <c r="C176" s="1081" t="s">
        <v>4717</v>
      </c>
      <c r="D176" s="1019" t="s">
        <v>4722</v>
      </c>
      <c r="E176" s="997">
        <v>211</v>
      </c>
      <c r="F176" s="1120" t="s">
        <v>4482</v>
      </c>
      <c r="G176" s="1401"/>
      <c r="H176" s="1061">
        <f t="shared" si="143"/>
        <v>0</v>
      </c>
      <c r="I176" s="1061">
        <f t="shared" si="144"/>
        <v>0</v>
      </c>
      <c r="J176" s="1401"/>
      <c r="K176" s="1585"/>
      <c r="L176" s="1284"/>
      <c r="M176" s="1075"/>
      <c r="N176" s="1075"/>
      <c r="O176" s="1075"/>
      <c r="P176" s="1075">
        <v>0</v>
      </c>
      <c r="Q176" s="1075">
        <v>0</v>
      </c>
      <c r="R176" s="1075">
        <v>0</v>
      </c>
      <c r="S176" s="1120"/>
      <c r="T176" s="1120"/>
      <c r="U176" s="1120"/>
      <c r="V176" s="1120"/>
      <c r="W176" s="1120"/>
      <c r="X176" s="1120"/>
      <c r="Y176" s="1067">
        <f t="shared" si="173"/>
        <v>0</v>
      </c>
      <c r="Z176" s="149"/>
      <c r="AA176" s="1067"/>
      <c r="AB176" s="1067"/>
      <c r="AC176" s="1067">
        <f>1000000000-710000000-290000000</f>
        <v>0</v>
      </c>
      <c r="AD176" s="1067"/>
      <c r="AE176" s="1067"/>
      <c r="AF176" s="1067"/>
      <c r="AG176" s="1067"/>
      <c r="AH176" s="1067"/>
      <c r="AI176" s="1067"/>
      <c r="AJ176" s="1067"/>
      <c r="AK176" s="1067"/>
      <c r="AL176" s="1067"/>
      <c r="AM176" s="1067"/>
      <c r="AN176" s="1067"/>
      <c r="AO176" s="1067"/>
      <c r="AP176" s="1067"/>
      <c r="AQ176" s="1067"/>
      <c r="AR176" s="1067"/>
      <c r="AS176" s="1067"/>
      <c r="AT176" s="1067"/>
      <c r="AU176" s="1082"/>
      <c r="AV176" s="1067">
        <f t="shared" si="174"/>
        <v>0</v>
      </c>
      <c r="AW176" s="1067"/>
      <c r="AX176" s="1067"/>
      <c r="AY176" s="1067"/>
      <c r="AZ176" s="1067"/>
      <c r="BA176" s="1067"/>
      <c r="BB176" s="1067"/>
      <c r="BC176" s="1067"/>
      <c r="BD176" s="1067"/>
      <c r="BE176" s="1067"/>
      <c r="BF176" s="1067"/>
      <c r="BG176" s="1067"/>
      <c r="BH176" s="1067"/>
      <c r="BI176" s="1067"/>
      <c r="BJ176" s="1067"/>
      <c r="BK176" s="1067"/>
      <c r="BL176" s="1067"/>
      <c r="BM176" s="1067"/>
      <c r="BN176" s="1067"/>
      <c r="BO176" s="1067"/>
      <c r="BP176" s="1067"/>
      <c r="BQ176" s="1082"/>
      <c r="BR176" s="1067">
        <f t="shared" si="175"/>
        <v>0</v>
      </c>
      <c r="BS176" s="1067"/>
      <c r="BT176" s="1067"/>
      <c r="BU176" s="1067"/>
      <c r="BV176" s="1067">
        <f t="shared" si="162"/>
        <v>0</v>
      </c>
      <c r="BW176" s="1067"/>
      <c r="BX176" s="1067"/>
      <c r="BY176" s="1067"/>
      <c r="BZ176" s="1067"/>
      <c r="CA176" s="1067"/>
      <c r="CB176" s="1067"/>
      <c r="CC176" s="1067"/>
      <c r="CD176" s="1067"/>
      <c r="CE176" s="1067"/>
      <c r="CF176" s="1067"/>
      <c r="CG176" s="1067"/>
      <c r="CH176" s="1067"/>
      <c r="CI176" s="1067"/>
      <c r="CJ176" s="1067"/>
      <c r="CK176" s="1067"/>
      <c r="CL176" s="1067"/>
      <c r="CM176" s="1082" t="e">
        <f t="shared" si="113"/>
        <v>#DIV/0!</v>
      </c>
      <c r="CN176" s="1067">
        <f t="shared" si="176"/>
        <v>0</v>
      </c>
      <c r="CO176" s="1067"/>
      <c r="CP176" s="1067"/>
      <c r="CQ176" s="1067"/>
      <c r="CR176" s="1067"/>
      <c r="CS176" s="1067"/>
      <c r="CT176" s="1067"/>
      <c r="CU176" s="1067"/>
      <c r="CV176" s="1067"/>
      <c r="CW176" s="1067"/>
      <c r="CX176" s="1067"/>
      <c r="CY176" s="1067"/>
      <c r="CZ176" s="1067"/>
      <c r="DA176" s="1067"/>
      <c r="DB176" s="1067"/>
      <c r="DC176" s="1067"/>
      <c r="DD176" s="1067"/>
      <c r="DE176" s="1067"/>
      <c r="DF176" s="1067"/>
      <c r="DG176" s="1067"/>
      <c r="DH176" s="1067"/>
      <c r="DI176" s="1082"/>
      <c r="DJ176" s="1067">
        <f t="shared" si="177"/>
        <v>0</v>
      </c>
      <c r="DK176" s="1067"/>
      <c r="DL176" s="1067"/>
      <c r="DM176" s="1067"/>
      <c r="DN176" s="1067">
        <f t="shared" si="163"/>
        <v>0</v>
      </c>
      <c r="DO176" s="1067"/>
      <c r="DP176" s="1067"/>
      <c r="DQ176" s="1067"/>
      <c r="DR176" s="1067"/>
      <c r="DS176" s="1067"/>
      <c r="DT176" s="1067"/>
      <c r="DU176" s="1067"/>
      <c r="DV176" s="1067"/>
      <c r="DW176" s="1067"/>
      <c r="DX176" s="1067"/>
      <c r="DY176" s="1067"/>
      <c r="DZ176" s="1067"/>
      <c r="EA176" s="1067"/>
      <c r="EB176" s="1067"/>
      <c r="EC176" s="1067"/>
      <c r="ED176" s="1067"/>
    </row>
    <row r="177" spans="1:134" ht="47.25" customHeight="1" x14ac:dyDescent="0.25">
      <c r="A177" s="1560"/>
      <c r="B177" s="989" t="s">
        <v>4451</v>
      </c>
      <c r="C177" s="852" t="s">
        <v>4534</v>
      </c>
      <c r="D177" s="1019" t="s">
        <v>4538</v>
      </c>
      <c r="E177" s="995">
        <v>510</v>
      </c>
      <c r="F177" s="1120" t="s">
        <v>4536</v>
      </c>
      <c r="G177" s="1399">
        <v>260000000</v>
      </c>
      <c r="H177" s="1061">
        <f t="shared" si="143"/>
        <v>83465123</v>
      </c>
      <c r="I177" s="1061">
        <f t="shared" si="144"/>
        <v>3034877</v>
      </c>
      <c r="J177" s="1587">
        <v>1</v>
      </c>
      <c r="K177" s="1583">
        <v>1</v>
      </c>
      <c r="L177" s="1283">
        <v>100</v>
      </c>
      <c r="M177" s="1115">
        <v>63</v>
      </c>
      <c r="N177" s="1115">
        <v>30</v>
      </c>
      <c r="O177" s="1115">
        <v>19</v>
      </c>
      <c r="P177" s="1115">
        <v>58</v>
      </c>
      <c r="Q177" s="1115">
        <v>50</v>
      </c>
      <c r="R177" s="1115">
        <v>29</v>
      </c>
      <c r="S177" s="1120"/>
      <c r="T177" s="1120"/>
      <c r="U177" s="1120"/>
      <c r="V177" s="1120"/>
      <c r="W177" s="1120"/>
      <c r="X177" s="1120"/>
      <c r="Y177" s="1008">
        <f t="shared" si="173"/>
        <v>86500000</v>
      </c>
      <c r="Z177" s="944"/>
      <c r="AA177" s="1008"/>
      <c r="AB177" s="1008"/>
      <c r="AC177" s="1008"/>
      <c r="AD177" s="1008"/>
      <c r="AE177" s="1008">
        <f>85000000-16000000+16000000</f>
        <v>85000000</v>
      </c>
      <c r="AF177" s="1008"/>
      <c r="AG177" s="1008"/>
      <c r="AH177" s="1008"/>
      <c r="AI177" s="1008"/>
      <c r="AJ177" s="1008"/>
      <c r="AK177" s="1008"/>
      <c r="AL177" s="1008"/>
      <c r="AM177" s="1008"/>
      <c r="AN177" s="1008"/>
      <c r="AO177" s="1008">
        <v>1500000</v>
      </c>
      <c r="AP177" s="1008"/>
      <c r="AQ177" s="1008"/>
      <c r="AR177" s="1008"/>
      <c r="AS177" s="1008"/>
      <c r="AT177" s="1008"/>
      <c r="AU177" s="1011">
        <f t="shared" ref="AU177:AU195" si="180">+AV177/Y177</f>
        <v>1</v>
      </c>
      <c r="AV177" s="1008">
        <f t="shared" si="174"/>
        <v>86500000</v>
      </c>
      <c r="AW177" s="1008"/>
      <c r="AX177" s="1008"/>
      <c r="AY177" s="1008"/>
      <c r="AZ177" s="1008"/>
      <c r="BA177" s="1008"/>
      <c r="BB177" s="1008">
        <f>+'[14]JUNIO 2015'!$O$1705</f>
        <v>85000000</v>
      </c>
      <c r="BC177" s="1008"/>
      <c r="BD177" s="1008"/>
      <c r="BE177" s="1008"/>
      <c r="BF177" s="1008"/>
      <c r="BG177" s="1008"/>
      <c r="BH177" s="1008"/>
      <c r="BI177" s="1008"/>
      <c r="BJ177" s="1008"/>
      <c r="BK177" s="1008"/>
      <c r="BL177" s="1008">
        <f>+'[14]JUNIO 2015'!$Y$1705</f>
        <v>1500000</v>
      </c>
      <c r="BM177" s="1008"/>
      <c r="BN177" s="1008"/>
      <c r="BO177" s="1008"/>
      <c r="BP177" s="1008"/>
      <c r="BQ177" s="1011">
        <f t="shared" ref="BQ177:BQ195" si="181">1-AU177</f>
        <v>0</v>
      </c>
      <c r="BR177" s="1008">
        <f t="shared" si="175"/>
        <v>0</v>
      </c>
      <c r="BS177" s="1008">
        <f t="shared" ref="BS177:BS194" si="182">+Z177-AW177</f>
        <v>0</v>
      </c>
      <c r="BT177" s="1008">
        <f t="shared" ref="BT177:BT194" si="183">AA177-AX177</f>
        <v>0</v>
      </c>
      <c r="BU177" s="1008"/>
      <c r="BV177" s="1008">
        <f t="shared" si="162"/>
        <v>0</v>
      </c>
      <c r="BW177" s="1008">
        <f t="shared" si="162"/>
        <v>0</v>
      </c>
      <c r="BX177" s="1008">
        <f t="shared" ref="BX177:BY194" si="184">+AE177-BB177</f>
        <v>0</v>
      </c>
      <c r="BY177" s="1008">
        <f t="shared" si="184"/>
        <v>0</v>
      </c>
      <c r="BZ177" s="1008"/>
      <c r="CA177" s="1008">
        <f t="shared" ref="CA177:CI194" si="185">+AH177-BE177</f>
        <v>0</v>
      </c>
      <c r="CB177" s="1008">
        <f t="shared" si="185"/>
        <v>0</v>
      </c>
      <c r="CC177" s="1008">
        <f t="shared" si="185"/>
        <v>0</v>
      </c>
      <c r="CD177" s="1008">
        <f t="shared" si="185"/>
        <v>0</v>
      </c>
      <c r="CE177" s="1008">
        <f t="shared" si="185"/>
        <v>0</v>
      </c>
      <c r="CF177" s="1008">
        <f t="shared" si="185"/>
        <v>0</v>
      </c>
      <c r="CG177" s="1008">
        <f t="shared" si="185"/>
        <v>0</v>
      </c>
      <c r="CH177" s="1008">
        <f t="shared" si="185"/>
        <v>0</v>
      </c>
      <c r="CI177" s="1008">
        <f t="shared" si="185"/>
        <v>0</v>
      </c>
      <c r="CJ177" s="1008"/>
      <c r="CK177" s="1008">
        <f t="shared" ref="CK177:CL192" si="186">+AR177-BO177</f>
        <v>0</v>
      </c>
      <c r="CL177" s="1008">
        <f t="shared" si="186"/>
        <v>0</v>
      </c>
      <c r="CM177" s="1011">
        <f t="shared" ref="CM177:CM195" si="187">+CN177/Y177</f>
        <v>0.96491471676300578</v>
      </c>
      <c r="CN177" s="1008">
        <f t="shared" si="176"/>
        <v>83465123</v>
      </c>
      <c r="CO177" s="1008"/>
      <c r="CP177" s="1008"/>
      <c r="CQ177" s="1008"/>
      <c r="CR177" s="1008"/>
      <c r="CS177" s="1008"/>
      <c r="CT177" s="1008">
        <f>+'[15]JULIO 2015'!$H$1989+'[15]JULIO 2015'!$H$1995+'[15]JULIO 2015'!$H$1997</f>
        <v>83465123</v>
      </c>
      <c r="CU177" s="1008"/>
      <c r="CV177" s="1008"/>
      <c r="CW177" s="1008"/>
      <c r="CX177" s="1008"/>
      <c r="CY177" s="1008"/>
      <c r="CZ177" s="1008"/>
      <c r="DA177" s="1008"/>
      <c r="DB177" s="1008"/>
      <c r="DC177" s="1008"/>
      <c r="DD177" s="1008"/>
      <c r="DE177" s="1008"/>
      <c r="DF177" s="1008"/>
      <c r="DG177" s="1008"/>
      <c r="DH177" s="1008"/>
      <c r="DI177" s="1011">
        <f t="shared" ref="DI177:DI195" si="188">1-CM177</f>
        <v>3.5085283236994225E-2</v>
      </c>
      <c r="DJ177" s="1008">
        <f t="shared" si="177"/>
        <v>3034877</v>
      </c>
      <c r="DK177" s="1008"/>
      <c r="DL177" s="1008">
        <f>AA177-CP177</f>
        <v>0</v>
      </c>
      <c r="DM177" s="1008"/>
      <c r="DN177" s="1008">
        <f t="shared" si="163"/>
        <v>0</v>
      </c>
      <c r="DO177" s="1008">
        <f t="shared" si="163"/>
        <v>0</v>
      </c>
      <c r="DP177" s="1008">
        <f t="shared" si="163"/>
        <v>1534877</v>
      </c>
      <c r="DQ177" s="1008">
        <f t="shared" si="163"/>
        <v>0</v>
      </c>
      <c r="DR177" s="1008"/>
      <c r="DS177" s="1008">
        <f t="shared" ref="DS177:DT194" si="189">+AH177-CW177</f>
        <v>0</v>
      </c>
      <c r="DT177" s="1008">
        <f t="shared" si="189"/>
        <v>0</v>
      </c>
      <c r="DU177" s="1008"/>
      <c r="DV177" s="1008">
        <f t="shared" ref="DV177:DX194" si="190">AK177-CZ177</f>
        <v>0</v>
      </c>
      <c r="DW177" s="1008">
        <f t="shared" si="190"/>
        <v>0</v>
      </c>
      <c r="DX177" s="1008">
        <f t="shared" si="190"/>
        <v>0</v>
      </c>
      <c r="DY177" s="1008">
        <f t="shared" ref="DY177:ED194" si="191">+AN177-DC177</f>
        <v>0</v>
      </c>
      <c r="DZ177" s="1008">
        <f t="shared" si="191"/>
        <v>1500000</v>
      </c>
      <c r="EA177" s="1008">
        <f t="shared" si="191"/>
        <v>0</v>
      </c>
      <c r="EB177" s="1008">
        <f t="shared" si="191"/>
        <v>0</v>
      </c>
      <c r="EC177" s="1008">
        <f t="shared" si="191"/>
        <v>0</v>
      </c>
      <c r="ED177" s="1008">
        <f t="shared" si="191"/>
        <v>0</v>
      </c>
    </row>
    <row r="178" spans="1:134" ht="50.25" customHeight="1" x14ac:dyDescent="0.25">
      <c r="A178" s="1560"/>
      <c r="B178" s="989"/>
      <c r="C178" s="852" t="s">
        <v>4540</v>
      </c>
      <c r="D178" s="1019" t="s">
        <v>4539</v>
      </c>
      <c r="E178" s="995">
        <v>510</v>
      </c>
      <c r="F178" s="1120" t="s">
        <v>4536</v>
      </c>
      <c r="G178" s="1400"/>
      <c r="H178" s="1061">
        <f t="shared" si="143"/>
        <v>6147669</v>
      </c>
      <c r="I178" s="1061">
        <f t="shared" si="144"/>
        <v>3852331</v>
      </c>
      <c r="J178" s="1588"/>
      <c r="K178" s="1584"/>
      <c r="L178" s="1573"/>
      <c r="M178" s="1115">
        <v>0</v>
      </c>
      <c r="N178" s="1115">
        <v>14</v>
      </c>
      <c r="O178" s="1115">
        <v>0</v>
      </c>
      <c r="P178" s="1115">
        <v>0</v>
      </c>
      <c r="Q178" s="1115">
        <v>35</v>
      </c>
      <c r="R178" s="1115">
        <v>0</v>
      </c>
      <c r="S178" s="1120"/>
      <c r="T178" s="1120"/>
      <c r="U178" s="1120"/>
      <c r="V178" s="1120"/>
      <c r="W178" s="1120"/>
      <c r="X178" s="1120"/>
      <c r="Y178" s="1008">
        <f t="shared" si="173"/>
        <v>10000000</v>
      </c>
      <c r="Z178" s="944"/>
      <c r="AA178" s="1008"/>
      <c r="AB178" s="1008"/>
      <c r="AC178" s="1008">
        <f>16000000-16000000</f>
        <v>0</v>
      </c>
      <c r="AD178" s="1008"/>
      <c r="AE178" s="1008">
        <f>16000000-16000000</f>
        <v>0</v>
      </c>
      <c r="AF178" s="1008"/>
      <c r="AG178" s="1008"/>
      <c r="AH178" s="1008"/>
      <c r="AI178" s="1008"/>
      <c r="AJ178" s="1008"/>
      <c r="AK178" s="1008"/>
      <c r="AL178" s="1008"/>
      <c r="AM178" s="1008"/>
      <c r="AN178" s="1008"/>
      <c r="AO178" s="1008">
        <v>10000000</v>
      </c>
      <c r="AP178" s="1008"/>
      <c r="AQ178" s="1008"/>
      <c r="AR178" s="1008"/>
      <c r="AS178" s="1008"/>
      <c r="AU178" s="1011">
        <f t="shared" si="180"/>
        <v>0.90276690000000004</v>
      </c>
      <c r="AV178" s="1008">
        <f t="shared" si="174"/>
        <v>9027669</v>
      </c>
      <c r="AW178" s="1008"/>
      <c r="AX178" s="1008"/>
      <c r="AY178" s="1008"/>
      <c r="AZ178" s="1008"/>
      <c r="BA178" s="1008"/>
      <c r="BB178" s="1008"/>
      <c r="BC178" s="1008"/>
      <c r="BD178" s="1008"/>
      <c r="BE178" s="1008"/>
      <c r="BF178" s="1008"/>
      <c r="BG178" s="1008"/>
      <c r="BH178" s="1008"/>
      <c r="BI178" s="1008"/>
      <c r="BJ178" s="1008"/>
      <c r="BK178" s="1008"/>
      <c r="BL178" s="1008">
        <f>+'[18]OCTUBRE 2015'!$Y$3191</f>
        <v>9027669</v>
      </c>
      <c r="BM178" s="1008"/>
      <c r="BN178" s="1008"/>
      <c r="BO178" s="1008"/>
      <c r="BP178" s="1008"/>
      <c r="BQ178" s="1011">
        <f t="shared" si="181"/>
        <v>9.7233099999999961E-2</v>
      </c>
      <c r="BR178" s="1008">
        <f t="shared" si="175"/>
        <v>972331</v>
      </c>
      <c r="BS178" s="1008">
        <f t="shared" si="182"/>
        <v>0</v>
      </c>
      <c r="BT178" s="1008">
        <f t="shared" si="183"/>
        <v>0</v>
      </c>
      <c r="BU178" s="1008"/>
      <c r="BV178" s="1008">
        <f t="shared" si="162"/>
        <v>0</v>
      </c>
      <c r="BW178" s="1008">
        <f t="shared" si="162"/>
        <v>0</v>
      </c>
      <c r="BX178" s="1008">
        <f t="shared" si="184"/>
        <v>0</v>
      </c>
      <c r="BY178" s="1008">
        <f t="shared" si="184"/>
        <v>0</v>
      </c>
      <c r="BZ178" s="1008"/>
      <c r="CA178" s="1008">
        <f t="shared" si="185"/>
        <v>0</v>
      </c>
      <c r="CB178" s="1008">
        <f t="shared" si="185"/>
        <v>0</v>
      </c>
      <c r="CC178" s="1008">
        <f t="shared" si="185"/>
        <v>0</v>
      </c>
      <c r="CD178" s="1008">
        <f t="shared" si="185"/>
        <v>0</v>
      </c>
      <c r="CE178" s="1008">
        <f t="shared" si="185"/>
        <v>0</v>
      </c>
      <c r="CF178" s="1008">
        <f t="shared" si="185"/>
        <v>0</v>
      </c>
      <c r="CG178" s="1008">
        <f t="shared" si="185"/>
        <v>0</v>
      </c>
      <c r="CH178" s="1008">
        <f t="shared" si="185"/>
        <v>972331</v>
      </c>
      <c r="CI178" s="1008">
        <f t="shared" si="185"/>
        <v>0</v>
      </c>
      <c r="CJ178" s="1008"/>
      <c r="CK178" s="1008">
        <f t="shared" si="186"/>
        <v>0</v>
      </c>
      <c r="CL178" s="1008">
        <f t="shared" si="186"/>
        <v>0</v>
      </c>
      <c r="CM178" s="1011">
        <f t="shared" si="187"/>
        <v>0.61476690000000001</v>
      </c>
      <c r="CN178" s="1008">
        <f t="shared" si="176"/>
        <v>6147669</v>
      </c>
      <c r="CO178" s="1008"/>
      <c r="CP178" s="1008"/>
      <c r="CQ178" s="1008"/>
      <c r="CR178" s="1008"/>
      <c r="CS178" s="1008"/>
      <c r="CT178" s="1008"/>
      <c r="CU178" s="1008"/>
      <c r="CV178" s="1008"/>
      <c r="CW178" s="1008"/>
      <c r="CX178" s="1008"/>
      <c r="CY178" s="1008"/>
      <c r="CZ178" s="1008"/>
      <c r="DA178" s="1008"/>
      <c r="DB178" s="1008"/>
      <c r="DC178" s="1008"/>
      <c r="DD178" s="1008">
        <f>+'[18]OCTUBRE 2015'!$H$3189</f>
        <v>6147669</v>
      </c>
      <c r="DE178" s="1008"/>
      <c r="DF178" s="1008"/>
      <c r="DG178" s="1008"/>
      <c r="DH178" s="1008"/>
      <c r="DI178" s="1011">
        <f t="shared" si="188"/>
        <v>0.38523309999999999</v>
      </c>
      <c r="DJ178" s="1008">
        <f t="shared" si="177"/>
        <v>3852331</v>
      </c>
      <c r="DK178" s="1008"/>
      <c r="DL178" s="1008"/>
      <c r="DM178" s="1008"/>
      <c r="DN178" s="1008">
        <f t="shared" si="163"/>
        <v>0</v>
      </c>
      <c r="DO178" s="1008">
        <f t="shared" si="163"/>
        <v>0</v>
      </c>
      <c r="DP178" s="1008">
        <f t="shared" si="163"/>
        <v>0</v>
      </c>
      <c r="DQ178" s="1008">
        <f t="shared" si="163"/>
        <v>0</v>
      </c>
      <c r="DR178" s="1008"/>
      <c r="DS178" s="1008">
        <f t="shared" si="189"/>
        <v>0</v>
      </c>
      <c r="DT178" s="1008">
        <f t="shared" si="189"/>
        <v>0</v>
      </c>
      <c r="DU178" s="1008"/>
      <c r="DV178" s="1008">
        <f t="shared" si="190"/>
        <v>0</v>
      </c>
      <c r="DW178" s="1008">
        <f t="shared" si="190"/>
        <v>0</v>
      </c>
      <c r="DX178" s="1008">
        <f t="shared" si="190"/>
        <v>0</v>
      </c>
      <c r="DY178" s="1008">
        <f t="shared" si="191"/>
        <v>0</v>
      </c>
      <c r="DZ178" s="1008">
        <f t="shared" si="191"/>
        <v>3852331</v>
      </c>
      <c r="EA178" s="1008">
        <f t="shared" si="191"/>
        <v>0</v>
      </c>
      <c r="EB178" s="1008">
        <f t="shared" si="191"/>
        <v>0</v>
      </c>
      <c r="EC178" s="1008">
        <f t="shared" si="191"/>
        <v>0</v>
      </c>
      <c r="ED178" s="1008">
        <f t="shared" si="191"/>
        <v>0</v>
      </c>
    </row>
    <row r="179" spans="1:134" ht="41.25" customHeight="1" x14ac:dyDescent="0.25">
      <c r="A179" s="1560"/>
      <c r="B179" s="989"/>
      <c r="C179" s="852" t="s">
        <v>4541</v>
      </c>
      <c r="D179" s="1019" t="s">
        <v>4696</v>
      </c>
      <c r="E179" s="995">
        <v>510</v>
      </c>
      <c r="F179" s="1120" t="s">
        <v>4669</v>
      </c>
      <c r="G179" s="1400"/>
      <c r="H179" s="1061">
        <f t="shared" si="143"/>
        <v>0</v>
      </c>
      <c r="I179" s="1061">
        <f t="shared" si="144"/>
        <v>8000000</v>
      </c>
      <c r="J179" s="1588"/>
      <c r="K179" s="1584"/>
      <c r="L179" s="1573"/>
      <c r="M179" s="1115">
        <v>0</v>
      </c>
      <c r="N179" s="1115">
        <v>0</v>
      </c>
      <c r="O179" s="1115">
        <v>0</v>
      </c>
      <c r="P179" s="1115">
        <v>0</v>
      </c>
      <c r="Q179" s="1115">
        <v>55</v>
      </c>
      <c r="R179" s="1115">
        <v>0</v>
      </c>
      <c r="S179" s="1120"/>
      <c r="T179" s="1120"/>
      <c r="U179" s="1120"/>
      <c r="V179" s="1120"/>
      <c r="W179" s="1120"/>
      <c r="X179" s="1120"/>
      <c r="Y179" s="1008">
        <f t="shared" si="173"/>
        <v>8000000</v>
      </c>
      <c r="Z179" s="944"/>
      <c r="AA179" s="1008"/>
      <c r="AB179" s="1008"/>
      <c r="AC179" s="1008"/>
      <c r="AD179" s="1008"/>
      <c r="AE179" s="1008">
        <v>8000000</v>
      </c>
      <c r="AF179" s="1008"/>
      <c r="AG179" s="1008"/>
      <c r="AH179" s="1008"/>
      <c r="AI179" s="1008"/>
      <c r="AJ179" s="1008"/>
      <c r="AK179" s="1008"/>
      <c r="AL179" s="1008"/>
      <c r="AM179" s="1008"/>
      <c r="AN179" s="1008"/>
      <c r="AO179" s="1008"/>
      <c r="AP179" s="1008"/>
      <c r="AQ179" s="1008"/>
      <c r="AR179" s="1008"/>
      <c r="AS179" s="1008"/>
      <c r="AU179" s="1011">
        <f t="shared" si="180"/>
        <v>0</v>
      </c>
      <c r="AV179" s="1008">
        <f t="shared" si="174"/>
        <v>0</v>
      </c>
      <c r="AW179" s="1008"/>
      <c r="AX179" s="1008"/>
      <c r="AY179" s="1008"/>
      <c r="AZ179" s="1008"/>
      <c r="BA179" s="1008"/>
      <c r="BB179" s="1008"/>
      <c r="BC179" s="1008"/>
      <c r="BD179" s="1008"/>
      <c r="BE179" s="1008"/>
      <c r="BF179" s="1008"/>
      <c r="BG179" s="1008"/>
      <c r="BH179" s="1008"/>
      <c r="BI179" s="1008"/>
      <c r="BJ179" s="1008"/>
      <c r="BK179" s="1008"/>
      <c r="BL179" s="1008"/>
      <c r="BM179" s="1008"/>
      <c r="BN179" s="1008"/>
      <c r="BO179" s="1008"/>
      <c r="BP179" s="1008"/>
      <c r="BQ179" s="1011">
        <f t="shared" si="181"/>
        <v>1</v>
      </c>
      <c r="BR179" s="1008">
        <f t="shared" si="175"/>
        <v>8000000</v>
      </c>
      <c r="BS179" s="1008">
        <f t="shared" si="182"/>
        <v>0</v>
      </c>
      <c r="BT179" s="1008">
        <f t="shared" si="183"/>
        <v>0</v>
      </c>
      <c r="BU179" s="1008"/>
      <c r="BV179" s="1008">
        <f t="shared" si="162"/>
        <v>0</v>
      </c>
      <c r="BW179" s="1008">
        <f t="shared" si="162"/>
        <v>0</v>
      </c>
      <c r="BX179" s="1008">
        <f t="shared" si="184"/>
        <v>8000000</v>
      </c>
      <c r="BY179" s="1008">
        <f t="shared" si="184"/>
        <v>0</v>
      </c>
      <c r="BZ179" s="1008"/>
      <c r="CA179" s="1008">
        <f t="shared" si="185"/>
        <v>0</v>
      </c>
      <c r="CB179" s="1008">
        <f t="shared" si="185"/>
        <v>0</v>
      </c>
      <c r="CC179" s="1008">
        <f t="shared" si="185"/>
        <v>0</v>
      </c>
      <c r="CD179" s="1008">
        <f t="shared" si="185"/>
        <v>0</v>
      </c>
      <c r="CE179" s="1008">
        <f t="shared" si="185"/>
        <v>0</v>
      </c>
      <c r="CF179" s="1008">
        <f t="shared" si="185"/>
        <v>0</v>
      </c>
      <c r="CG179" s="1008">
        <f t="shared" si="185"/>
        <v>0</v>
      </c>
      <c r="CH179" s="1008">
        <f t="shared" si="185"/>
        <v>0</v>
      </c>
      <c r="CI179" s="1008">
        <f t="shared" si="185"/>
        <v>0</v>
      </c>
      <c r="CJ179" s="1008"/>
      <c r="CK179" s="1008">
        <f t="shared" si="186"/>
        <v>0</v>
      </c>
      <c r="CL179" s="1008">
        <f t="shared" si="186"/>
        <v>0</v>
      </c>
      <c r="CM179" s="1011">
        <f t="shared" si="187"/>
        <v>0</v>
      </c>
      <c r="CN179" s="1008">
        <f t="shared" si="176"/>
        <v>0</v>
      </c>
      <c r="CO179" s="1008"/>
      <c r="CP179" s="1008"/>
      <c r="CQ179" s="1008"/>
      <c r="CR179" s="1008"/>
      <c r="CS179" s="1008"/>
      <c r="CT179" s="1008"/>
      <c r="CU179" s="1008"/>
      <c r="CV179" s="1008"/>
      <c r="CW179" s="1008"/>
      <c r="CX179" s="1008"/>
      <c r="CY179" s="1008"/>
      <c r="CZ179" s="1008"/>
      <c r="DA179" s="1008"/>
      <c r="DB179" s="1008"/>
      <c r="DC179" s="1008"/>
      <c r="DD179" s="1008"/>
      <c r="DE179" s="1008"/>
      <c r="DF179" s="1008"/>
      <c r="DG179" s="1008"/>
      <c r="DH179" s="1008"/>
      <c r="DI179" s="1011">
        <f t="shared" si="188"/>
        <v>1</v>
      </c>
      <c r="DJ179" s="1008">
        <f t="shared" si="177"/>
        <v>8000000</v>
      </c>
      <c r="DK179" s="1008"/>
      <c r="DL179" s="1008"/>
      <c r="DM179" s="1008"/>
      <c r="DN179" s="1008">
        <f t="shared" si="163"/>
        <v>0</v>
      </c>
      <c r="DO179" s="1008">
        <f t="shared" si="163"/>
        <v>0</v>
      </c>
      <c r="DP179" s="1008">
        <f t="shared" si="163"/>
        <v>8000000</v>
      </c>
      <c r="DQ179" s="1008">
        <f t="shared" si="163"/>
        <v>0</v>
      </c>
      <c r="DR179" s="1008"/>
      <c r="DS179" s="1008">
        <f t="shared" si="189"/>
        <v>0</v>
      </c>
      <c r="DT179" s="1008">
        <f t="shared" si="189"/>
        <v>0</v>
      </c>
      <c r="DU179" s="1008"/>
      <c r="DV179" s="1008">
        <f t="shared" si="190"/>
        <v>0</v>
      </c>
      <c r="DW179" s="1008">
        <f t="shared" si="190"/>
        <v>0</v>
      </c>
      <c r="DX179" s="1008">
        <f t="shared" si="190"/>
        <v>0</v>
      </c>
      <c r="DY179" s="1008">
        <f t="shared" si="191"/>
        <v>0</v>
      </c>
      <c r="DZ179" s="1008">
        <f t="shared" si="191"/>
        <v>0</v>
      </c>
      <c r="EA179" s="1008">
        <f t="shared" si="191"/>
        <v>0</v>
      </c>
      <c r="EB179" s="1008">
        <f t="shared" si="191"/>
        <v>0</v>
      </c>
      <c r="EC179" s="1008">
        <f t="shared" si="191"/>
        <v>0</v>
      </c>
      <c r="ED179" s="1008">
        <f t="shared" si="191"/>
        <v>0</v>
      </c>
    </row>
    <row r="180" spans="1:134" s="203" customFormat="1" ht="51" customHeight="1" x14ac:dyDescent="0.25">
      <c r="A180" s="1560"/>
      <c r="B180" s="989"/>
      <c r="C180" s="1081" t="s">
        <v>4542</v>
      </c>
      <c r="D180" s="1019" t="s">
        <v>4535</v>
      </c>
      <c r="E180" s="997">
        <v>510</v>
      </c>
      <c r="F180" s="1120" t="s">
        <v>4536</v>
      </c>
      <c r="G180" s="1400"/>
      <c r="H180" s="1061">
        <f t="shared" si="143"/>
        <v>0</v>
      </c>
      <c r="I180" s="1061">
        <f t="shared" si="144"/>
        <v>0</v>
      </c>
      <c r="J180" s="1588"/>
      <c r="K180" s="1584"/>
      <c r="L180" s="1573"/>
      <c r="M180" s="1075">
        <v>0</v>
      </c>
      <c r="N180" s="1075">
        <v>20</v>
      </c>
      <c r="O180" s="1075">
        <v>0</v>
      </c>
      <c r="P180" s="1075"/>
      <c r="Q180" s="1075"/>
      <c r="R180" s="1075"/>
      <c r="S180" s="1120"/>
      <c r="T180" s="1120"/>
      <c r="U180" s="1120"/>
      <c r="V180" s="1120"/>
      <c r="W180" s="1120"/>
      <c r="X180" s="1120"/>
      <c r="Y180" s="1067">
        <f t="shared" si="173"/>
        <v>0</v>
      </c>
      <c r="Z180" s="149"/>
      <c r="AA180" s="1067"/>
      <c r="AB180" s="1067"/>
      <c r="AC180" s="1067">
        <f>16000000-16000000</f>
        <v>0</v>
      </c>
      <c r="AD180" s="1067"/>
      <c r="AE180" s="1067"/>
      <c r="AF180" s="1067"/>
      <c r="AG180" s="1067"/>
      <c r="AH180" s="1067"/>
      <c r="AI180" s="1067"/>
      <c r="AJ180" s="1067"/>
      <c r="AK180" s="1067"/>
      <c r="AL180" s="1067"/>
      <c r="AM180" s="1067"/>
      <c r="AN180" s="1067"/>
      <c r="AO180" s="1067"/>
      <c r="AP180" s="1067"/>
      <c r="AQ180" s="1067"/>
      <c r="AR180" s="1067"/>
      <c r="AS180" s="1067"/>
      <c r="AU180" s="1082" t="e">
        <f t="shared" si="180"/>
        <v>#DIV/0!</v>
      </c>
      <c r="AV180" s="1067">
        <f t="shared" si="174"/>
        <v>0</v>
      </c>
      <c r="AW180" s="1067"/>
      <c r="AX180" s="1067"/>
      <c r="AY180" s="1067"/>
      <c r="AZ180" s="1067"/>
      <c r="BA180" s="1067"/>
      <c r="BB180" s="1067"/>
      <c r="BC180" s="1067"/>
      <c r="BD180" s="1067"/>
      <c r="BE180" s="1067"/>
      <c r="BF180" s="1067"/>
      <c r="BG180" s="1067"/>
      <c r="BH180" s="1067"/>
      <c r="BI180" s="1067"/>
      <c r="BJ180" s="1067"/>
      <c r="BK180" s="1067"/>
      <c r="BL180" s="1067"/>
      <c r="BM180" s="1067"/>
      <c r="BN180" s="1067"/>
      <c r="BO180" s="1067"/>
      <c r="BP180" s="1067"/>
      <c r="BQ180" s="1082" t="e">
        <f t="shared" si="181"/>
        <v>#DIV/0!</v>
      </c>
      <c r="BR180" s="1067">
        <f t="shared" si="175"/>
        <v>0</v>
      </c>
      <c r="BS180" s="1067">
        <f t="shared" si="182"/>
        <v>0</v>
      </c>
      <c r="BT180" s="1067">
        <f t="shared" si="183"/>
        <v>0</v>
      </c>
      <c r="BU180" s="1067"/>
      <c r="BV180" s="1067">
        <f t="shared" si="162"/>
        <v>0</v>
      </c>
      <c r="BW180" s="1067">
        <f t="shared" si="162"/>
        <v>0</v>
      </c>
      <c r="BX180" s="1067">
        <f t="shared" si="184"/>
        <v>0</v>
      </c>
      <c r="BY180" s="1067">
        <f t="shared" si="184"/>
        <v>0</v>
      </c>
      <c r="BZ180" s="1067"/>
      <c r="CA180" s="1067">
        <f t="shared" si="185"/>
        <v>0</v>
      </c>
      <c r="CB180" s="1067">
        <f t="shared" si="185"/>
        <v>0</v>
      </c>
      <c r="CC180" s="1067">
        <f t="shared" si="185"/>
        <v>0</v>
      </c>
      <c r="CD180" s="1067">
        <f t="shared" si="185"/>
        <v>0</v>
      </c>
      <c r="CE180" s="1067">
        <f t="shared" si="185"/>
        <v>0</v>
      </c>
      <c r="CF180" s="1067">
        <f t="shared" si="185"/>
        <v>0</v>
      </c>
      <c r="CG180" s="1067">
        <f t="shared" si="185"/>
        <v>0</v>
      </c>
      <c r="CH180" s="1067">
        <f t="shared" si="185"/>
        <v>0</v>
      </c>
      <c r="CI180" s="1067">
        <f t="shared" si="185"/>
        <v>0</v>
      </c>
      <c r="CJ180" s="1067"/>
      <c r="CK180" s="1067">
        <f t="shared" si="186"/>
        <v>0</v>
      </c>
      <c r="CL180" s="1067">
        <f t="shared" si="186"/>
        <v>0</v>
      </c>
      <c r="CM180" s="1082" t="e">
        <f t="shared" si="187"/>
        <v>#DIV/0!</v>
      </c>
      <c r="CN180" s="1067">
        <f t="shared" si="176"/>
        <v>0</v>
      </c>
      <c r="CO180" s="1067"/>
      <c r="CP180" s="1067"/>
      <c r="CQ180" s="1067"/>
      <c r="CR180" s="1067"/>
      <c r="CS180" s="1067"/>
      <c r="CT180" s="1067"/>
      <c r="CU180" s="1067"/>
      <c r="CV180" s="1067"/>
      <c r="CW180" s="1067"/>
      <c r="CX180" s="1067"/>
      <c r="CY180" s="1067"/>
      <c r="CZ180" s="1067"/>
      <c r="DA180" s="1067"/>
      <c r="DB180" s="1067"/>
      <c r="DC180" s="1067"/>
      <c r="DD180" s="1067"/>
      <c r="DE180" s="1067"/>
      <c r="DF180" s="1067"/>
      <c r="DG180" s="1067"/>
      <c r="DH180" s="1067"/>
      <c r="DI180" s="1082" t="e">
        <f t="shared" si="188"/>
        <v>#DIV/0!</v>
      </c>
      <c r="DJ180" s="1067">
        <f t="shared" si="177"/>
        <v>0</v>
      </c>
      <c r="DK180" s="1067"/>
      <c r="DL180" s="1067"/>
      <c r="DM180" s="1067"/>
      <c r="DN180" s="1067">
        <f t="shared" si="163"/>
        <v>0</v>
      </c>
      <c r="DO180" s="1067">
        <f t="shared" si="163"/>
        <v>0</v>
      </c>
      <c r="DP180" s="1067">
        <f t="shared" si="163"/>
        <v>0</v>
      </c>
      <c r="DQ180" s="1067">
        <f t="shared" si="163"/>
        <v>0</v>
      </c>
      <c r="DR180" s="1067"/>
      <c r="DS180" s="1067">
        <f t="shared" si="189"/>
        <v>0</v>
      </c>
      <c r="DT180" s="1067">
        <f t="shared" si="189"/>
        <v>0</v>
      </c>
      <c r="DU180" s="1067"/>
      <c r="DV180" s="1067">
        <f t="shared" si="190"/>
        <v>0</v>
      </c>
      <c r="DW180" s="1067">
        <f t="shared" si="190"/>
        <v>0</v>
      </c>
      <c r="DX180" s="1067">
        <f t="shared" si="190"/>
        <v>0</v>
      </c>
      <c r="DY180" s="1067">
        <f t="shared" si="191"/>
        <v>0</v>
      </c>
      <c r="DZ180" s="1067">
        <f t="shared" si="191"/>
        <v>0</v>
      </c>
      <c r="EA180" s="1067">
        <f t="shared" si="191"/>
        <v>0</v>
      </c>
      <c r="EB180" s="1067">
        <f t="shared" si="191"/>
        <v>0</v>
      </c>
      <c r="EC180" s="1067">
        <f t="shared" si="191"/>
        <v>0</v>
      </c>
      <c r="ED180" s="1067">
        <f t="shared" si="191"/>
        <v>0</v>
      </c>
    </row>
    <row r="181" spans="1:134" s="203" customFormat="1" ht="48.75" customHeight="1" x14ac:dyDescent="0.25">
      <c r="A181" s="1560"/>
      <c r="B181" s="989"/>
      <c r="C181" s="1081" t="s">
        <v>4543</v>
      </c>
      <c r="D181" s="1019" t="s">
        <v>4691</v>
      </c>
      <c r="E181" s="997">
        <v>510</v>
      </c>
      <c r="F181" s="1120" t="s">
        <v>4536</v>
      </c>
      <c r="G181" s="1400"/>
      <c r="H181" s="1061">
        <f t="shared" si="143"/>
        <v>0</v>
      </c>
      <c r="I181" s="1061">
        <f t="shared" si="144"/>
        <v>0</v>
      </c>
      <c r="J181" s="1588"/>
      <c r="K181" s="1584"/>
      <c r="L181" s="1573"/>
      <c r="M181" s="1075">
        <v>0</v>
      </c>
      <c r="N181" s="1075">
        <v>0</v>
      </c>
      <c r="O181" s="1075">
        <v>0</v>
      </c>
      <c r="P181" s="1075"/>
      <c r="Q181" s="1075"/>
      <c r="R181" s="1075"/>
      <c r="S181" s="1120"/>
      <c r="T181" s="1120"/>
      <c r="U181" s="1120"/>
      <c r="V181" s="1120"/>
      <c r="W181" s="1120"/>
      <c r="X181" s="1120"/>
      <c r="Y181" s="1067">
        <f t="shared" si="173"/>
        <v>0</v>
      </c>
      <c r="Z181" s="149"/>
      <c r="AA181" s="1067"/>
      <c r="AB181" s="1067"/>
      <c r="AC181" s="1067">
        <f>5000000-5000000</f>
        <v>0</v>
      </c>
      <c r="AD181" s="1067"/>
      <c r="AE181" s="1067"/>
      <c r="AF181" s="1067"/>
      <c r="AG181" s="1067"/>
      <c r="AH181" s="1067"/>
      <c r="AI181" s="1067"/>
      <c r="AJ181" s="1067"/>
      <c r="AK181" s="1067"/>
      <c r="AL181" s="1067"/>
      <c r="AM181" s="1067"/>
      <c r="AN181" s="1067"/>
      <c r="AO181" s="1067"/>
      <c r="AP181" s="1067"/>
      <c r="AQ181" s="1067"/>
      <c r="AR181" s="1067"/>
      <c r="AS181" s="1067"/>
      <c r="AU181" s="1082" t="e">
        <f t="shared" si="180"/>
        <v>#DIV/0!</v>
      </c>
      <c r="AV181" s="1067">
        <f t="shared" si="174"/>
        <v>0</v>
      </c>
      <c r="AW181" s="1067"/>
      <c r="AX181" s="1067"/>
      <c r="AY181" s="1067"/>
      <c r="AZ181" s="1067"/>
      <c r="BA181" s="1067"/>
      <c r="BB181" s="1067"/>
      <c r="BC181" s="1067"/>
      <c r="BD181" s="1067"/>
      <c r="BE181" s="1067"/>
      <c r="BF181" s="1067"/>
      <c r="BG181" s="1067"/>
      <c r="BH181" s="1067"/>
      <c r="BI181" s="1067"/>
      <c r="BJ181" s="1067"/>
      <c r="BK181" s="1067"/>
      <c r="BL181" s="1067"/>
      <c r="BM181" s="1067"/>
      <c r="BN181" s="1067"/>
      <c r="BO181" s="1067"/>
      <c r="BP181" s="1067"/>
      <c r="BQ181" s="1082" t="e">
        <f t="shared" si="181"/>
        <v>#DIV/0!</v>
      </c>
      <c r="BR181" s="1067">
        <f t="shared" si="175"/>
        <v>0</v>
      </c>
      <c r="BS181" s="1067">
        <f t="shared" si="182"/>
        <v>0</v>
      </c>
      <c r="BT181" s="1067">
        <f t="shared" si="183"/>
        <v>0</v>
      </c>
      <c r="BU181" s="1067"/>
      <c r="BV181" s="1067">
        <f t="shared" si="162"/>
        <v>0</v>
      </c>
      <c r="BW181" s="1067">
        <f t="shared" si="162"/>
        <v>0</v>
      </c>
      <c r="BX181" s="1067">
        <f t="shared" si="184"/>
        <v>0</v>
      </c>
      <c r="BY181" s="1067">
        <f t="shared" si="184"/>
        <v>0</v>
      </c>
      <c r="BZ181" s="1067"/>
      <c r="CA181" s="1067">
        <f t="shared" si="185"/>
        <v>0</v>
      </c>
      <c r="CB181" s="1067">
        <f t="shared" si="185"/>
        <v>0</v>
      </c>
      <c r="CC181" s="1067">
        <f t="shared" si="185"/>
        <v>0</v>
      </c>
      <c r="CD181" s="1067">
        <f t="shared" si="185"/>
        <v>0</v>
      </c>
      <c r="CE181" s="1067">
        <f t="shared" si="185"/>
        <v>0</v>
      </c>
      <c r="CF181" s="1067">
        <f t="shared" si="185"/>
        <v>0</v>
      </c>
      <c r="CG181" s="1067">
        <f t="shared" si="185"/>
        <v>0</v>
      </c>
      <c r="CH181" s="1067">
        <f t="shared" si="185"/>
        <v>0</v>
      </c>
      <c r="CI181" s="1067">
        <f t="shared" si="185"/>
        <v>0</v>
      </c>
      <c r="CJ181" s="1067"/>
      <c r="CK181" s="1067">
        <f t="shared" si="186"/>
        <v>0</v>
      </c>
      <c r="CL181" s="1067">
        <f t="shared" si="186"/>
        <v>0</v>
      </c>
      <c r="CM181" s="1082" t="e">
        <f t="shared" si="187"/>
        <v>#DIV/0!</v>
      </c>
      <c r="CN181" s="1067">
        <f t="shared" si="176"/>
        <v>0</v>
      </c>
      <c r="CO181" s="1067"/>
      <c r="CP181" s="1067"/>
      <c r="CQ181" s="1067"/>
      <c r="CR181" s="1067"/>
      <c r="CS181" s="1067"/>
      <c r="CT181" s="1067"/>
      <c r="CU181" s="1067"/>
      <c r="CV181" s="1067"/>
      <c r="CW181" s="1067"/>
      <c r="CX181" s="1067"/>
      <c r="CY181" s="1067"/>
      <c r="CZ181" s="1067"/>
      <c r="DA181" s="1067"/>
      <c r="DB181" s="1067"/>
      <c r="DC181" s="1067"/>
      <c r="DD181" s="1067"/>
      <c r="DE181" s="1067"/>
      <c r="DF181" s="1067"/>
      <c r="DG181" s="1067"/>
      <c r="DH181" s="1067"/>
      <c r="DI181" s="1082" t="e">
        <f t="shared" si="188"/>
        <v>#DIV/0!</v>
      </c>
      <c r="DJ181" s="1067">
        <f t="shared" si="177"/>
        <v>0</v>
      </c>
      <c r="DK181" s="1067"/>
      <c r="DL181" s="1067"/>
      <c r="DM181" s="1067"/>
      <c r="DN181" s="1067">
        <f t="shared" si="163"/>
        <v>0</v>
      </c>
      <c r="DO181" s="1067">
        <f t="shared" si="163"/>
        <v>0</v>
      </c>
      <c r="DP181" s="1067">
        <f t="shared" si="163"/>
        <v>0</v>
      </c>
      <c r="DQ181" s="1067">
        <f t="shared" si="163"/>
        <v>0</v>
      </c>
      <c r="DR181" s="1067"/>
      <c r="DS181" s="1067">
        <f t="shared" si="189"/>
        <v>0</v>
      </c>
      <c r="DT181" s="1067">
        <f t="shared" si="189"/>
        <v>0</v>
      </c>
      <c r="DU181" s="1067"/>
      <c r="DV181" s="1067">
        <f t="shared" si="190"/>
        <v>0</v>
      </c>
      <c r="DW181" s="1067">
        <f t="shared" si="190"/>
        <v>0</v>
      </c>
      <c r="DX181" s="1067">
        <f t="shared" si="190"/>
        <v>0</v>
      </c>
      <c r="DY181" s="1067">
        <f t="shared" si="191"/>
        <v>0</v>
      </c>
      <c r="DZ181" s="1067">
        <f t="shared" si="191"/>
        <v>0</v>
      </c>
      <c r="EA181" s="1067">
        <f t="shared" si="191"/>
        <v>0</v>
      </c>
      <c r="EB181" s="1067">
        <f t="shared" si="191"/>
        <v>0</v>
      </c>
      <c r="EC181" s="1067">
        <f t="shared" si="191"/>
        <v>0</v>
      </c>
      <c r="ED181" s="1067">
        <f t="shared" si="191"/>
        <v>0</v>
      </c>
    </row>
    <row r="182" spans="1:134" ht="49.5" customHeight="1" x14ac:dyDescent="0.25">
      <c r="A182" s="1560"/>
      <c r="B182" s="989"/>
      <c r="C182" s="852" t="s">
        <v>4544</v>
      </c>
      <c r="D182" s="1019" t="s">
        <v>4692</v>
      </c>
      <c r="E182" s="995">
        <v>510</v>
      </c>
      <c r="F182" s="1120" t="s">
        <v>4536</v>
      </c>
      <c r="G182" s="1400"/>
      <c r="H182" s="1061">
        <f t="shared" si="143"/>
        <v>0</v>
      </c>
      <c r="I182" s="1061">
        <f t="shared" si="144"/>
        <v>8000000</v>
      </c>
      <c r="J182" s="1588"/>
      <c r="K182" s="1584"/>
      <c r="L182" s="1573"/>
      <c r="M182" s="1115">
        <v>0</v>
      </c>
      <c r="N182" s="1115">
        <v>0</v>
      </c>
      <c r="O182" s="1115">
        <v>0</v>
      </c>
      <c r="P182" s="1115">
        <v>0</v>
      </c>
      <c r="Q182" s="1115">
        <v>0</v>
      </c>
      <c r="R182" s="1115">
        <v>0</v>
      </c>
      <c r="S182" s="1120"/>
      <c r="T182" s="1120"/>
      <c r="U182" s="1120"/>
      <c r="V182" s="1120"/>
      <c r="W182" s="1120"/>
      <c r="X182" s="1120"/>
      <c r="Y182" s="1008">
        <f t="shared" si="173"/>
        <v>8000000</v>
      </c>
      <c r="Z182" s="944"/>
      <c r="AA182" s="1008"/>
      <c r="AB182" s="1008"/>
      <c r="AC182" s="1008">
        <f>8000000-8000000</f>
        <v>0</v>
      </c>
      <c r="AD182" s="1008"/>
      <c r="AE182" s="1008"/>
      <c r="AF182" s="1008"/>
      <c r="AG182" s="1008"/>
      <c r="AH182" s="1008"/>
      <c r="AI182" s="1008"/>
      <c r="AJ182" s="1008"/>
      <c r="AK182" s="1008"/>
      <c r="AL182" s="1008"/>
      <c r="AM182" s="1008"/>
      <c r="AN182" s="1008"/>
      <c r="AO182" s="1008">
        <v>8000000</v>
      </c>
      <c r="AP182" s="1008"/>
      <c r="AQ182" s="1008"/>
      <c r="AR182" s="1008"/>
      <c r="AS182" s="1008"/>
      <c r="AU182" s="1011">
        <f t="shared" si="180"/>
        <v>0</v>
      </c>
      <c r="AV182" s="1008">
        <f t="shared" si="174"/>
        <v>0</v>
      </c>
      <c r="AW182" s="1008"/>
      <c r="AX182" s="1008"/>
      <c r="AY182" s="1008"/>
      <c r="AZ182" s="1008"/>
      <c r="BA182" s="1008"/>
      <c r="BB182" s="1008"/>
      <c r="BC182" s="1008"/>
      <c r="BD182" s="1008"/>
      <c r="BE182" s="1008"/>
      <c r="BF182" s="1008"/>
      <c r="BG182" s="1008"/>
      <c r="BH182" s="1008"/>
      <c r="BI182" s="1008"/>
      <c r="BJ182" s="1008"/>
      <c r="BK182" s="1008"/>
      <c r="BL182" s="1008"/>
      <c r="BM182" s="1008"/>
      <c r="BN182" s="1008"/>
      <c r="BO182" s="1008"/>
      <c r="BP182" s="1008"/>
      <c r="BQ182" s="1011">
        <f t="shared" si="181"/>
        <v>1</v>
      </c>
      <c r="BR182" s="1008">
        <f t="shared" si="175"/>
        <v>8000000</v>
      </c>
      <c r="BS182" s="1008">
        <f t="shared" si="182"/>
        <v>0</v>
      </c>
      <c r="BT182" s="1008">
        <f t="shared" si="183"/>
        <v>0</v>
      </c>
      <c r="BU182" s="1008"/>
      <c r="BV182" s="1008">
        <f t="shared" si="162"/>
        <v>0</v>
      </c>
      <c r="BW182" s="1008">
        <f t="shared" si="162"/>
        <v>0</v>
      </c>
      <c r="BX182" s="1008">
        <f t="shared" si="184"/>
        <v>0</v>
      </c>
      <c r="BY182" s="1008">
        <f t="shared" si="184"/>
        <v>0</v>
      </c>
      <c r="BZ182" s="1008"/>
      <c r="CA182" s="1008">
        <f t="shared" si="185"/>
        <v>0</v>
      </c>
      <c r="CB182" s="1008">
        <f t="shared" si="185"/>
        <v>0</v>
      </c>
      <c r="CC182" s="1008">
        <f t="shared" si="185"/>
        <v>0</v>
      </c>
      <c r="CD182" s="1008">
        <f t="shared" si="185"/>
        <v>0</v>
      </c>
      <c r="CE182" s="1008">
        <f t="shared" si="185"/>
        <v>0</v>
      </c>
      <c r="CF182" s="1008">
        <f t="shared" si="185"/>
        <v>0</v>
      </c>
      <c r="CG182" s="1008">
        <f t="shared" si="185"/>
        <v>0</v>
      </c>
      <c r="CH182" s="1008">
        <f t="shared" si="185"/>
        <v>8000000</v>
      </c>
      <c r="CI182" s="1008">
        <f t="shared" si="185"/>
        <v>0</v>
      </c>
      <c r="CJ182" s="1008"/>
      <c r="CK182" s="1008">
        <f t="shared" si="186"/>
        <v>0</v>
      </c>
      <c r="CL182" s="1008">
        <f t="shared" si="186"/>
        <v>0</v>
      </c>
      <c r="CM182" s="1011">
        <f t="shared" si="187"/>
        <v>0</v>
      </c>
      <c r="CN182" s="1008">
        <f t="shared" si="176"/>
        <v>0</v>
      </c>
      <c r="CO182" s="1008"/>
      <c r="CP182" s="1008"/>
      <c r="CQ182" s="1008"/>
      <c r="CR182" s="1008"/>
      <c r="CS182" s="1008"/>
      <c r="CT182" s="1008"/>
      <c r="CU182" s="1008"/>
      <c r="CV182" s="1008"/>
      <c r="CW182" s="1008"/>
      <c r="CX182" s="1008"/>
      <c r="CY182" s="1008"/>
      <c r="CZ182" s="1008"/>
      <c r="DA182" s="1008"/>
      <c r="DB182" s="1008"/>
      <c r="DC182" s="1008"/>
      <c r="DD182" s="1008"/>
      <c r="DE182" s="1008"/>
      <c r="DF182" s="1008"/>
      <c r="DG182" s="1008"/>
      <c r="DH182" s="1008"/>
      <c r="DI182" s="1011">
        <f t="shared" si="188"/>
        <v>1</v>
      </c>
      <c r="DJ182" s="1008">
        <f t="shared" si="177"/>
        <v>8000000</v>
      </c>
      <c r="DK182" s="1008"/>
      <c r="DL182" s="1008"/>
      <c r="DM182" s="1008"/>
      <c r="DN182" s="1008">
        <f t="shared" si="163"/>
        <v>0</v>
      </c>
      <c r="DO182" s="1008">
        <f t="shared" si="163"/>
        <v>0</v>
      </c>
      <c r="DP182" s="1008">
        <f t="shared" si="163"/>
        <v>0</v>
      </c>
      <c r="DQ182" s="1008">
        <f t="shared" si="163"/>
        <v>0</v>
      </c>
      <c r="DR182" s="1008"/>
      <c r="DS182" s="1008">
        <f t="shared" si="189"/>
        <v>0</v>
      </c>
      <c r="DT182" s="1008">
        <f t="shared" si="189"/>
        <v>0</v>
      </c>
      <c r="DU182" s="1008"/>
      <c r="DV182" s="1008">
        <f t="shared" si="190"/>
        <v>0</v>
      </c>
      <c r="DW182" s="1008">
        <f t="shared" si="190"/>
        <v>0</v>
      </c>
      <c r="DX182" s="1008">
        <f t="shared" si="190"/>
        <v>0</v>
      </c>
      <c r="DY182" s="1008">
        <f t="shared" si="191"/>
        <v>0</v>
      </c>
      <c r="DZ182" s="1008">
        <f t="shared" si="191"/>
        <v>8000000</v>
      </c>
      <c r="EA182" s="1008">
        <f t="shared" si="191"/>
        <v>0</v>
      </c>
      <c r="EB182" s="1008">
        <f t="shared" si="191"/>
        <v>0</v>
      </c>
      <c r="EC182" s="1008">
        <f t="shared" si="191"/>
        <v>0</v>
      </c>
      <c r="ED182" s="1008">
        <f t="shared" si="191"/>
        <v>0</v>
      </c>
    </row>
    <row r="183" spans="1:134" ht="36" customHeight="1" x14ac:dyDescent="0.25">
      <c r="A183" s="1560"/>
      <c r="B183" s="989"/>
      <c r="C183" s="852" t="s">
        <v>4545</v>
      </c>
      <c r="D183" s="1019" t="s">
        <v>4693</v>
      </c>
      <c r="E183" s="995">
        <v>510</v>
      </c>
      <c r="F183" s="1120" t="s">
        <v>4536</v>
      </c>
      <c r="G183" s="1400"/>
      <c r="H183" s="1061">
        <f t="shared" si="143"/>
        <v>74061157</v>
      </c>
      <c r="I183" s="1061">
        <f t="shared" si="144"/>
        <v>32938843</v>
      </c>
      <c r="J183" s="1588"/>
      <c r="K183" s="1584"/>
      <c r="L183" s="1573"/>
      <c r="M183" s="1115">
        <v>30</v>
      </c>
      <c r="N183" s="1115">
        <v>30</v>
      </c>
      <c r="O183" s="1115">
        <v>9</v>
      </c>
      <c r="P183" s="1115">
        <v>30</v>
      </c>
      <c r="Q183" s="1115">
        <v>60</v>
      </c>
      <c r="R183" s="1115">
        <v>18</v>
      </c>
      <c r="S183" s="1120"/>
      <c r="T183" s="1120"/>
      <c r="U183" s="1120"/>
      <c r="V183" s="1120"/>
      <c r="W183" s="1120"/>
      <c r="X183" s="1120"/>
      <c r="Y183" s="1008">
        <f t="shared" si="173"/>
        <v>107000000</v>
      </c>
      <c r="Z183" s="944"/>
      <c r="AA183" s="1008"/>
      <c r="AB183" s="1008"/>
      <c r="AC183" s="1008"/>
      <c r="AD183" s="1008"/>
      <c r="AE183" s="1008">
        <v>107000000</v>
      </c>
      <c r="AF183" s="1008"/>
      <c r="AG183" s="1008"/>
      <c r="AH183" s="1008"/>
      <c r="AI183" s="1008"/>
      <c r="AJ183" s="1008"/>
      <c r="AK183" s="1008"/>
      <c r="AL183" s="1008"/>
      <c r="AM183" s="1008"/>
      <c r="AN183" s="1008"/>
      <c r="AO183" s="1008"/>
      <c r="AP183" s="1008"/>
      <c r="AQ183" s="1008"/>
      <c r="AR183" s="1008"/>
      <c r="AS183" s="1008"/>
      <c r="AU183" s="1011">
        <f t="shared" si="180"/>
        <v>0.69216034579439256</v>
      </c>
      <c r="AV183" s="1008">
        <f t="shared" si="174"/>
        <v>74061157</v>
      </c>
      <c r="AW183" s="1008"/>
      <c r="AX183" s="1008"/>
      <c r="AY183" s="1008"/>
      <c r="AZ183" s="1008"/>
      <c r="BA183" s="1008"/>
      <c r="BB183" s="1008">
        <f>+'[16]AGOSTO 2015'!$O$2267</f>
        <v>74061157</v>
      </c>
      <c r="BC183" s="1008"/>
      <c r="BD183" s="1008"/>
      <c r="BE183" s="1008"/>
      <c r="BF183" s="1008"/>
      <c r="BG183" s="1008"/>
      <c r="BH183" s="1008"/>
      <c r="BI183" s="1008"/>
      <c r="BJ183" s="1008"/>
      <c r="BK183" s="1008"/>
      <c r="BL183" s="1008"/>
      <c r="BM183" s="1008"/>
      <c r="BN183" s="1008"/>
      <c r="BO183" s="1008"/>
      <c r="BP183" s="1008"/>
      <c r="BQ183" s="1011">
        <f t="shared" si="181"/>
        <v>0.30783965420560744</v>
      </c>
      <c r="BR183" s="1008">
        <f t="shared" si="175"/>
        <v>32938843</v>
      </c>
      <c r="BS183" s="1008">
        <f t="shared" si="182"/>
        <v>0</v>
      </c>
      <c r="BT183" s="1008">
        <f t="shared" si="183"/>
        <v>0</v>
      </c>
      <c r="BU183" s="1008"/>
      <c r="BV183" s="1008">
        <f t="shared" si="162"/>
        <v>0</v>
      </c>
      <c r="BW183" s="1008">
        <f t="shared" si="162"/>
        <v>0</v>
      </c>
      <c r="BX183" s="1008">
        <f t="shared" si="184"/>
        <v>32938843</v>
      </c>
      <c r="BY183" s="1008">
        <f t="shared" si="184"/>
        <v>0</v>
      </c>
      <c r="BZ183" s="1008"/>
      <c r="CA183" s="1008">
        <f t="shared" si="185"/>
        <v>0</v>
      </c>
      <c r="CB183" s="1008">
        <f t="shared" si="185"/>
        <v>0</v>
      </c>
      <c r="CC183" s="1008">
        <f t="shared" si="185"/>
        <v>0</v>
      </c>
      <c r="CD183" s="1008">
        <f t="shared" si="185"/>
        <v>0</v>
      </c>
      <c r="CE183" s="1008">
        <f t="shared" si="185"/>
        <v>0</v>
      </c>
      <c r="CF183" s="1008">
        <f t="shared" si="185"/>
        <v>0</v>
      </c>
      <c r="CG183" s="1008">
        <f t="shared" si="185"/>
        <v>0</v>
      </c>
      <c r="CH183" s="1008">
        <f t="shared" si="185"/>
        <v>0</v>
      </c>
      <c r="CI183" s="1008">
        <f t="shared" si="185"/>
        <v>0</v>
      </c>
      <c r="CJ183" s="1008"/>
      <c r="CK183" s="1008"/>
      <c r="CL183" s="1008">
        <f t="shared" si="186"/>
        <v>0</v>
      </c>
      <c r="CM183" s="1011">
        <f t="shared" si="187"/>
        <v>0.69216034579439256</v>
      </c>
      <c r="CN183" s="1008">
        <f t="shared" si="176"/>
        <v>74061157</v>
      </c>
      <c r="CO183" s="1008"/>
      <c r="CP183" s="1008"/>
      <c r="CQ183" s="1008"/>
      <c r="CR183" s="1008"/>
      <c r="CS183" s="1008"/>
      <c r="CT183" s="1008">
        <f>+'[16]AGOSTO 2015'!$H$2265</f>
        <v>74061157</v>
      </c>
      <c r="CU183" s="1008"/>
      <c r="CV183" s="1008"/>
      <c r="CW183" s="1008"/>
      <c r="CX183" s="1008"/>
      <c r="CY183" s="1008"/>
      <c r="CZ183" s="1008"/>
      <c r="DA183" s="1008"/>
      <c r="DB183" s="1008"/>
      <c r="DC183" s="1008"/>
      <c r="DD183" s="1008"/>
      <c r="DE183" s="1008"/>
      <c r="DF183" s="1008"/>
      <c r="DG183" s="1008"/>
      <c r="DH183" s="1008"/>
      <c r="DI183" s="1011">
        <f t="shared" si="188"/>
        <v>0.30783965420560744</v>
      </c>
      <c r="DJ183" s="1008">
        <f t="shared" si="177"/>
        <v>32938843</v>
      </c>
      <c r="DK183" s="1008"/>
      <c r="DL183" s="1008"/>
      <c r="DM183" s="1008"/>
      <c r="DN183" s="1008">
        <f t="shared" si="163"/>
        <v>0</v>
      </c>
      <c r="DO183" s="1008">
        <f t="shared" si="163"/>
        <v>0</v>
      </c>
      <c r="DP183" s="1008">
        <f t="shared" si="163"/>
        <v>32938843</v>
      </c>
      <c r="DQ183" s="1008">
        <f t="shared" si="163"/>
        <v>0</v>
      </c>
      <c r="DR183" s="1008"/>
      <c r="DS183" s="1008">
        <f t="shared" si="189"/>
        <v>0</v>
      </c>
      <c r="DT183" s="1008">
        <f t="shared" si="189"/>
        <v>0</v>
      </c>
      <c r="DU183" s="1008"/>
      <c r="DV183" s="1008">
        <f t="shared" si="190"/>
        <v>0</v>
      </c>
      <c r="DW183" s="1008">
        <f t="shared" si="190"/>
        <v>0</v>
      </c>
      <c r="DX183" s="1008">
        <f t="shared" si="190"/>
        <v>0</v>
      </c>
      <c r="DY183" s="1008">
        <f t="shared" si="191"/>
        <v>0</v>
      </c>
      <c r="DZ183" s="1008">
        <f t="shared" si="191"/>
        <v>0</v>
      </c>
      <c r="EA183" s="1008">
        <f t="shared" si="191"/>
        <v>0</v>
      </c>
      <c r="EB183" s="1008">
        <f t="shared" si="191"/>
        <v>0</v>
      </c>
      <c r="EC183" s="1008">
        <f t="shared" si="191"/>
        <v>0</v>
      </c>
      <c r="ED183" s="1008">
        <f t="shared" si="191"/>
        <v>0</v>
      </c>
    </row>
    <row r="184" spans="1:134" s="203" customFormat="1" ht="33" customHeight="1" x14ac:dyDescent="0.25">
      <c r="A184" s="1560"/>
      <c r="B184" s="989"/>
      <c r="C184" s="1081" t="s">
        <v>4668</v>
      </c>
      <c r="D184" s="1019" t="s">
        <v>4655</v>
      </c>
      <c r="E184" s="997">
        <v>510</v>
      </c>
      <c r="F184" s="1120" t="s">
        <v>4536</v>
      </c>
      <c r="G184" s="1401"/>
      <c r="H184" s="1061">
        <f t="shared" si="143"/>
        <v>0</v>
      </c>
      <c r="I184" s="1061">
        <f t="shared" si="144"/>
        <v>0</v>
      </c>
      <c r="J184" s="1589"/>
      <c r="K184" s="1585"/>
      <c r="L184" s="1284"/>
      <c r="M184" s="1075">
        <v>0</v>
      </c>
      <c r="N184" s="1075">
        <v>0</v>
      </c>
      <c r="O184" s="1075">
        <v>0</v>
      </c>
      <c r="P184" s="1075"/>
      <c r="Q184" s="1075"/>
      <c r="R184" s="1075"/>
      <c r="S184" s="1120"/>
      <c r="T184" s="1120"/>
      <c r="U184" s="1120"/>
      <c r="V184" s="1120"/>
      <c r="W184" s="1120"/>
      <c r="X184" s="1120"/>
      <c r="Y184" s="1067">
        <f t="shared" si="173"/>
        <v>0</v>
      </c>
      <c r="Z184" s="149"/>
      <c r="AA184" s="1067"/>
      <c r="AB184" s="1067"/>
      <c r="AC184" s="1067">
        <f>15000000-15000000</f>
        <v>0</v>
      </c>
      <c r="AD184" s="1067"/>
      <c r="AE184" s="1067"/>
      <c r="AF184" s="1067"/>
      <c r="AG184" s="1067"/>
      <c r="AH184" s="1067"/>
      <c r="AI184" s="1067"/>
      <c r="AJ184" s="1067"/>
      <c r="AK184" s="1067"/>
      <c r="AL184" s="1067"/>
      <c r="AM184" s="1067"/>
      <c r="AN184" s="1067"/>
      <c r="AO184" s="1067"/>
      <c r="AP184" s="1067"/>
      <c r="AQ184" s="1067"/>
      <c r="AR184" s="1067"/>
      <c r="AS184" s="1067"/>
      <c r="AU184" s="1082" t="e">
        <f t="shared" si="180"/>
        <v>#DIV/0!</v>
      </c>
      <c r="AV184" s="1067">
        <f t="shared" si="174"/>
        <v>0</v>
      </c>
      <c r="AW184" s="1067"/>
      <c r="AX184" s="1067"/>
      <c r="AY184" s="1067"/>
      <c r="AZ184" s="1067"/>
      <c r="BA184" s="1067"/>
      <c r="BB184" s="1067"/>
      <c r="BC184" s="1067"/>
      <c r="BD184" s="1067"/>
      <c r="BE184" s="1067"/>
      <c r="BF184" s="1067"/>
      <c r="BG184" s="1067"/>
      <c r="BH184" s="1067"/>
      <c r="BI184" s="1067"/>
      <c r="BJ184" s="1067"/>
      <c r="BK184" s="1067"/>
      <c r="BL184" s="1067"/>
      <c r="BM184" s="1067"/>
      <c r="BN184" s="1067"/>
      <c r="BO184" s="1067"/>
      <c r="BP184" s="1067"/>
      <c r="BQ184" s="1082" t="e">
        <f t="shared" si="181"/>
        <v>#DIV/0!</v>
      </c>
      <c r="BR184" s="1067">
        <f t="shared" si="175"/>
        <v>0</v>
      </c>
      <c r="BS184" s="1067">
        <f t="shared" si="182"/>
        <v>0</v>
      </c>
      <c r="BT184" s="1067">
        <f t="shared" si="183"/>
        <v>0</v>
      </c>
      <c r="BU184" s="1067"/>
      <c r="BV184" s="1067">
        <f t="shared" si="162"/>
        <v>0</v>
      </c>
      <c r="BW184" s="1067">
        <f t="shared" si="162"/>
        <v>0</v>
      </c>
      <c r="BX184" s="1067">
        <f t="shared" si="184"/>
        <v>0</v>
      </c>
      <c r="BY184" s="1067">
        <f t="shared" si="184"/>
        <v>0</v>
      </c>
      <c r="BZ184" s="1067"/>
      <c r="CA184" s="1067">
        <f t="shared" si="185"/>
        <v>0</v>
      </c>
      <c r="CB184" s="1067">
        <f t="shared" si="185"/>
        <v>0</v>
      </c>
      <c r="CC184" s="1067">
        <f t="shared" si="185"/>
        <v>0</v>
      </c>
      <c r="CD184" s="1067">
        <f t="shared" si="185"/>
        <v>0</v>
      </c>
      <c r="CE184" s="1067">
        <f t="shared" si="185"/>
        <v>0</v>
      </c>
      <c r="CF184" s="1067">
        <f t="shared" si="185"/>
        <v>0</v>
      </c>
      <c r="CG184" s="1067">
        <f t="shared" si="185"/>
        <v>0</v>
      </c>
      <c r="CH184" s="1067">
        <f t="shared" si="185"/>
        <v>0</v>
      </c>
      <c r="CI184" s="1067">
        <f t="shared" si="185"/>
        <v>0</v>
      </c>
      <c r="CJ184" s="1067"/>
      <c r="CK184" s="1067"/>
      <c r="CL184" s="1067">
        <f t="shared" si="186"/>
        <v>0</v>
      </c>
      <c r="CM184" s="1082" t="e">
        <f t="shared" si="187"/>
        <v>#DIV/0!</v>
      </c>
      <c r="CN184" s="1067">
        <f t="shared" si="176"/>
        <v>0</v>
      </c>
      <c r="CO184" s="1067"/>
      <c r="CP184" s="1067"/>
      <c r="CQ184" s="1067"/>
      <c r="CR184" s="1067"/>
      <c r="CS184" s="1067"/>
      <c r="CT184" s="1067"/>
      <c r="CU184" s="1067"/>
      <c r="CV184" s="1067"/>
      <c r="CW184" s="1067"/>
      <c r="CX184" s="1067"/>
      <c r="CY184" s="1067"/>
      <c r="CZ184" s="1067"/>
      <c r="DA184" s="1067"/>
      <c r="DB184" s="1067"/>
      <c r="DC184" s="1067"/>
      <c r="DD184" s="1067"/>
      <c r="DE184" s="1067"/>
      <c r="DF184" s="1067"/>
      <c r="DG184" s="1067"/>
      <c r="DH184" s="1067"/>
      <c r="DI184" s="1082" t="e">
        <f t="shared" si="188"/>
        <v>#DIV/0!</v>
      </c>
      <c r="DJ184" s="1067">
        <f t="shared" si="177"/>
        <v>0</v>
      </c>
      <c r="DK184" s="1067"/>
      <c r="DL184" s="1067"/>
      <c r="DM184" s="1067"/>
      <c r="DN184" s="1067">
        <f t="shared" si="163"/>
        <v>0</v>
      </c>
      <c r="DO184" s="1067">
        <f t="shared" si="163"/>
        <v>0</v>
      </c>
      <c r="DP184" s="1067">
        <f t="shared" si="163"/>
        <v>0</v>
      </c>
      <c r="DQ184" s="1067">
        <f t="shared" si="163"/>
        <v>0</v>
      </c>
      <c r="DR184" s="1067"/>
      <c r="DS184" s="1067">
        <f t="shared" si="189"/>
        <v>0</v>
      </c>
      <c r="DT184" s="1067">
        <f t="shared" si="189"/>
        <v>0</v>
      </c>
      <c r="DU184" s="1067"/>
      <c r="DV184" s="1067">
        <f t="shared" si="190"/>
        <v>0</v>
      </c>
      <c r="DW184" s="1067">
        <f t="shared" si="190"/>
        <v>0</v>
      </c>
      <c r="DX184" s="1067">
        <f t="shared" si="190"/>
        <v>0</v>
      </c>
      <c r="DY184" s="1067">
        <f t="shared" si="191"/>
        <v>0</v>
      </c>
      <c r="DZ184" s="1067">
        <f t="shared" si="191"/>
        <v>0</v>
      </c>
      <c r="EA184" s="1067">
        <f t="shared" si="191"/>
        <v>0</v>
      </c>
      <c r="EB184" s="1067">
        <f t="shared" si="191"/>
        <v>0</v>
      </c>
      <c r="EC184" s="1067">
        <f t="shared" si="191"/>
        <v>0</v>
      </c>
      <c r="ED184" s="1067">
        <f t="shared" si="191"/>
        <v>0</v>
      </c>
    </row>
    <row r="185" spans="1:134" ht="39" customHeight="1" x14ac:dyDescent="0.25">
      <c r="A185" s="1560"/>
      <c r="B185" s="989" t="s">
        <v>4452</v>
      </c>
      <c r="C185" s="852" t="s">
        <v>4643</v>
      </c>
      <c r="D185" s="1019" t="s">
        <v>4705</v>
      </c>
      <c r="E185" s="995">
        <v>510</v>
      </c>
      <c r="F185" s="1120" t="s">
        <v>4591</v>
      </c>
      <c r="G185" s="1120">
        <v>80000000</v>
      </c>
      <c r="H185" s="1061">
        <f t="shared" si="143"/>
        <v>61291800</v>
      </c>
      <c r="I185" s="1061">
        <f t="shared" si="144"/>
        <v>18708200</v>
      </c>
      <c r="J185" s="1069">
        <v>0</v>
      </c>
      <c r="K185" s="1135">
        <v>1</v>
      </c>
      <c r="L185" s="1115">
        <v>30</v>
      </c>
      <c r="M185" s="1115">
        <v>7</v>
      </c>
      <c r="N185" s="1115">
        <v>100</v>
      </c>
      <c r="O185" s="1115">
        <v>7</v>
      </c>
      <c r="P185" s="1115">
        <v>64</v>
      </c>
      <c r="Q185" s="1115">
        <v>100</v>
      </c>
      <c r="R185" s="1115">
        <v>64</v>
      </c>
      <c r="S185" s="1120"/>
      <c r="T185" s="1120"/>
      <c r="U185" s="1120"/>
      <c r="V185" s="1120"/>
      <c r="W185" s="1120"/>
      <c r="X185" s="1120"/>
      <c r="Y185" s="1008">
        <f t="shared" si="173"/>
        <v>80000000</v>
      </c>
      <c r="Z185" s="944"/>
      <c r="AA185" s="1008"/>
      <c r="AB185" s="1008"/>
      <c r="AC185" s="1008"/>
      <c r="AD185" s="1008"/>
      <c r="AE185" s="1008">
        <v>80000000</v>
      </c>
      <c r="AF185" s="1008"/>
      <c r="AG185" s="1008"/>
      <c r="AH185" s="1008"/>
      <c r="AI185" s="1008"/>
      <c r="AJ185" s="1008"/>
      <c r="AK185" s="1008"/>
      <c r="AL185" s="1008"/>
      <c r="AM185" s="1008"/>
      <c r="AN185" s="1008"/>
      <c r="AO185" s="1008"/>
      <c r="AP185" s="1008"/>
      <c r="AQ185" s="1008"/>
      <c r="AR185" s="1008"/>
      <c r="AS185" s="1008"/>
      <c r="AU185" s="1011">
        <f t="shared" si="180"/>
        <v>0.88364750000000003</v>
      </c>
      <c r="AV185" s="1008">
        <f t="shared" si="174"/>
        <v>70691800</v>
      </c>
      <c r="AW185" s="1008"/>
      <c r="AX185" s="1008"/>
      <c r="AY185" s="1008"/>
      <c r="AZ185" s="1008"/>
      <c r="BA185" s="1008"/>
      <c r="BB185" s="1008">
        <f>+'[17]SEPTIEMBRE 2015'!$O$2797</f>
        <v>70691800</v>
      </c>
      <c r="BC185" s="1008"/>
      <c r="BD185" s="1008"/>
      <c r="BE185" s="1008"/>
      <c r="BF185" s="1008"/>
      <c r="BG185" s="1008"/>
      <c r="BH185" s="1008"/>
      <c r="BI185" s="1008"/>
      <c r="BJ185" s="1008"/>
      <c r="BK185" s="1008"/>
      <c r="BL185" s="1008"/>
      <c r="BM185" s="1008"/>
      <c r="BN185" s="1008"/>
      <c r="BO185" s="1008"/>
      <c r="BP185" s="1008"/>
      <c r="BQ185" s="1011">
        <f t="shared" si="181"/>
        <v>0.11635249999999997</v>
      </c>
      <c r="BR185" s="1008">
        <f t="shared" si="175"/>
        <v>9308200</v>
      </c>
      <c r="BS185" s="1008">
        <f t="shared" si="182"/>
        <v>0</v>
      </c>
      <c r="BT185" s="1008">
        <f t="shared" si="183"/>
        <v>0</v>
      </c>
      <c r="BU185" s="1008"/>
      <c r="BV185" s="1008">
        <f t="shared" si="162"/>
        <v>0</v>
      </c>
      <c r="BW185" s="1008">
        <f t="shared" si="162"/>
        <v>0</v>
      </c>
      <c r="BX185" s="1008">
        <f t="shared" si="184"/>
        <v>9308200</v>
      </c>
      <c r="BY185" s="1008">
        <f t="shared" si="184"/>
        <v>0</v>
      </c>
      <c r="BZ185" s="1008"/>
      <c r="CA185" s="1008">
        <f t="shared" si="185"/>
        <v>0</v>
      </c>
      <c r="CB185" s="1008">
        <f t="shared" si="185"/>
        <v>0</v>
      </c>
      <c r="CC185" s="1008">
        <f t="shared" si="185"/>
        <v>0</v>
      </c>
      <c r="CD185" s="1008">
        <f t="shared" si="185"/>
        <v>0</v>
      </c>
      <c r="CE185" s="1008">
        <f t="shared" si="185"/>
        <v>0</v>
      </c>
      <c r="CF185" s="1008">
        <f t="shared" si="185"/>
        <v>0</v>
      </c>
      <c r="CG185" s="1008">
        <f t="shared" si="185"/>
        <v>0</v>
      </c>
      <c r="CH185" s="1008">
        <f t="shared" si="185"/>
        <v>0</v>
      </c>
      <c r="CI185" s="1008">
        <f t="shared" si="185"/>
        <v>0</v>
      </c>
      <c r="CJ185" s="1008"/>
      <c r="CK185" s="1008"/>
      <c r="CL185" s="1008">
        <f t="shared" si="186"/>
        <v>0</v>
      </c>
      <c r="CM185" s="1011">
        <f t="shared" si="187"/>
        <v>0.76614749999999998</v>
      </c>
      <c r="CN185" s="1008">
        <f t="shared" si="176"/>
        <v>61291800</v>
      </c>
      <c r="CO185" s="1008"/>
      <c r="CP185" s="1008"/>
      <c r="CQ185" s="1008"/>
      <c r="CR185" s="1008"/>
      <c r="CS185" s="1008"/>
      <c r="CT185" s="1008">
        <f>+'[17]SEPTIEMBRE 2015'!$H$2795</f>
        <v>61291800</v>
      </c>
      <c r="CU185" s="1008"/>
      <c r="CV185" s="1008"/>
      <c r="CW185" s="1008"/>
      <c r="CX185" s="1008"/>
      <c r="CY185" s="1008"/>
      <c r="CZ185" s="1008"/>
      <c r="DA185" s="1008"/>
      <c r="DB185" s="1008"/>
      <c r="DC185" s="1008"/>
      <c r="DD185" s="1008"/>
      <c r="DE185" s="1008"/>
      <c r="DF185" s="1008"/>
      <c r="DG185" s="1008"/>
      <c r="DH185" s="1008"/>
      <c r="DI185" s="1011">
        <f t="shared" si="188"/>
        <v>0.23385250000000002</v>
      </c>
      <c r="DJ185" s="1008">
        <f t="shared" si="177"/>
        <v>18708200</v>
      </c>
      <c r="DK185" s="1008"/>
      <c r="DL185" s="1008"/>
      <c r="DM185" s="1008"/>
      <c r="DN185" s="1008">
        <f t="shared" si="163"/>
        <v>0</v>
      </c>
      <c r="DO185" s="1008">
        <f t="shared" si="163"/>
        <v>0</v>
      </c>
      <c r="DP185" s="1008">
        <f t="shared" si="163"/>
        <v>18708200</v>
      </c>
      <c r="DQ185" s="1008">
        <f t="shared" si="163"/>
        <v>0</v>
      </c>
      <c r="DR185" s="1008"/>
      <c r="DS185" s="1008">
        <f t="shared" si="189"/>
        <v>0</v>
      </c>
      <c r="DT185" s="1008">
        <f t="shared" si="189"/>
        <v>0</v>
      </c>
      <c r="DU185" s="1008"/>
      <c r="DV185" s="1008">
        <f t="shared" si="190"/>
        <v>0</v>
      </c>
      <c r="DW185" s="1008">
        <f t="shared" si="190"/>
        <v>0</v>
      </c>
      <c r="DX185" s="1008">
        <f t="shared" si="190"/>
        <v>0</v>
      </c>
      <c r="DY185" s="1008">
        <f t="shared" si="191"/>
        <v>0</v>
      </c>
      <c r="DZ185" s="1008">
        <f t="shared" si="191"/>
        <v>0</v>
      </c>
      <c r="EA185" s="1008">
        <f t="shared" si="191"/>
        <v>0</v>
      </c>
      <c r="EB185" s="1008">
        <f t="shared" si="191"/>
        <v>0</v>
      </c>
      <c r="EC185" s="1008">
        <f t="shared" si="191"/>
        <v>0</v>
      </c>
      <c r="ED185" s="1008">
        <f t="shared" si="191"/>
        <v>0</v>
      </c>
    </row>
    <row r="186" spans="1:134" ht="24.75" customHeight="1" x14ac:dyDescent="0.25">
      <c r="A186" s="1560"/>
      <c r="B186" s="989" t="s">
        <v>4453</v>
      </c>
      <c r="C186" s="852" t="s">
        <v>4647</v>
      </c>
      <c r="D186" s="1019" t="s">
        <v>4694</v>
      </c>
      <c r="E186" s="995">
        <v>510</v>
      </c>
      <c r="F186" s="1120" t="s">
        <v>4482</v>
      </c>
      <c r="G186" s="1399">
        <v>120000000</v>
      </c>
      <c r="H186" s="1061">
        <f t="shared" si="143"/>
        <v>0</v>
      </c>
      <c r="I186" s="1061">
        <f t="shared" si="144"/>
        <v>1000000</v>
      </c>
      <c r="J186" s="1120">
        <v>0</v>
      </c>
      <c r="K186" s="1135">
        <v>1</v>
      </c>
      <c r="L186" s="1115">
        <v>100</v>
      </c>
      <c r="M186" s="1115">
        <v>0</v>
      </c>
      <c r="N186" s="1115">
        <v>0</v>
      </c>
      <c r="O186" s="1115">
        <v>0</v>
      </c>
      <c r="P186" s="1115">
        <v>0</v>
      </c>
      <c r="Q186" s="1115">
        <v>0</v>
      </c>
      <c r="R186" s="1115">
        <v>0</v>
      </c>
      <c r="S186" s="1120"/>
      <c r="T186" s="1120"/>
      <c r="U186" s="1120"/>
      <c r="V186" s="1120"/>
      <c r="W186" s="1120"/>
      <c r="X186" s="1120"/>
      <c r="Y186" s="1008">
        <f t="shared" si="173"/>
        <v>1000000</v>
      </c>
      <c r="Z186" s="944"/>
      <c r="AA186" s="1008"/>
      <c r="AB186" s="1008"/>
      <c r="AC186" s="1008"/>
      <c r="AD186" s="1008"/>
      <c r="AE186" s="1008">
        <v>1000000</v>
      </c>
      <c r="AF186" s="1008"/>
      <c r="AG186" s="1008"/>
      <c r="AH186" s="1008"/>
      <c r="AI186" s="1008"/>
      <c r="AJ186" s="1008"/>
      <c r="AK186" s="1008"/>
      <c r="AL186" s="1008"/>
      <c r="AM186" s="1008"/>
      <c r="AN186" s="1008"/>
      <c r="AO186" s="1008"/>
      <c r="AP186" s="1008"/>
      <c r="AQ186" s="1008"/>
      <c r="AR186" s="1008"/>
      <c r="AS186" s="1008"/>
      <c r="AU186" s="1011">
        <f t="shared" si="180"/>
        <v>0</v>
      </c>
      <c r="AV186" s="1008">
        <f t="shared" si="174"/>
        <v>0</v>
      </c>
      <c r="AW186" s="1008"/>
      <c r="AX186" s="1008"/>
      <c r="AY186" s="1008"/>
      <c r="AZ186" s="1008"/>
      <c r="BA186" s="1008"/>
      <c r="BB186" s="1008"/>
      <c r="BC186" s="1008"/>
      <c r="BD186" s="1008"/>
      <c r="BE186" s="1008"/>
      <c r="BF186" s="1008"/>
      <c r="BG186" s="1008"/>
      <c r="BH186" s="1008"/>
      <c r="BI186" s="1008"/>
      <c r="BJ186" s="1008"/>
      <c r="BK186" s="1008"/>
      <c r="BL186" s="1008"/>
      <c r="BM186" s="1008"/>
      <c r="BN186" s="1008"/>
      <c r="BO186" s="1008"/>
      <c r="BP186" s="1008"/>
      <c r="BQ186" s="1011">
        <f t="shared" si="181"/>
        <v>1</v>
      </c>
      <c r="BR186" s="1008">
        <f t="shared" si="175"/>
        <v>1000000</v>
      </c>
      <c r="BS186" s="1008">
        <f t="shared" si="182"/>
        <v>0</v>
      </c>
      <c r="BT186" s="1008">
        <f t="shared" si="183"/>
        <v>0</v>
      </c>
      <c r="BU186" s="1008"/>
      <c r="BV186" s="1008">
        <f t="shared" si="162"/>
        <v>0</v>
      </c>
      <c r="BW186" s="1008">
        <f t="shared" si="162"/>
        <v>0</v>
      </c>
      <c r="BX186" s="1008">
        <f t="shared" si="184"/>
        <v>1000000</v>
      </c>
      <c r="BY186" s="1008">
        <f t="shared" si="184"/>
        <v>0</v>
      </c>
      <c r="BZ186" s="1008"/>
      <c r="CA186" s="1008">
        <f t="shared" si="185"/>
        <v>0</v>
      </c>
      <c r="CB186" s="1008">
        <f t="shared" si="185"/>
        <v>0</v>
      </c>
      <c r="CC186" s="1008">
        <f t="shared" si="185"/>
        <v>0</v>
      </c>
      <c r="CD186" s="1008">
        <f t="shared" si="185"/>
        <v>0</v>
      </c>
      <c r="CE186" s="1008">
        <f t="shared" si="185"/>
        <v>0</v>
      </c>
      <c r="CF186" s="1008">
        <f t="shared" si="185"/>
        <v>0</v>
      </c>
      <c r="CG186" s="1008">
        <f t="shared" si="185"/>
        <v>0</v>
      </c>
      <c r="CH186" s="1008">
        <f t="shared" si="185"/>
        <v>0</v>
      </c>
      <c r="CI186" s="1008">
        <f t="shared" si="185"/>
        <v>0</v>
      </c>
      <c r="CJ186" s="1008"/>
      <c r="CK186" s="1008"/>
      <c r="CL186" s="1008">
        <f t="shared" si="186"/>
        <v>0</v>
      </c>
      <c r="CM186" s="1011">
        <f t="shared" si="187"/>
        <v>0</v>
      </c>
      <c r="CN186" s="1008">
        <f t="shared" si="176"/>
        <v>0</v>
      </c>
      <c r="CO186" s="1008"/>
      <c r="CP186" s="1008"/>
      <c r="CQ186" s="1008"/>
      <c r="CR186" s="1008"/>
      <c r="CS186" s="1008"/>
      <c r="CT186" s="1008"/>
      <c r="CU186" s="1008"/>
      <c r="CV186" s="1008"/>
      <c r="CW186" s="1008"/>
      <c r="CX186" s="1008"/>
      <c r="CY186" s="1008"/>
      <c r="CZ186" s="1008"/>
      <c r="DA186" s="1008"/>
      <c r="DB186" s="1008"/>
      <c r="DC186" s="1008"/>
      <c r="DD186" s="1008"/>
      <c r="DE186" s="1008"/>
      <c r="DF186" s="1008"/>
      <c r="DG186" s="1008"/>
      <c r="DH186" s="1008"/>
      <c r="DI186" s="1011">
        <f t="shared" si="188"/>
        <v>1</v>
      </c>
      <c r="DJ186" s="1008">
        <f t="shared" si="177"/>
        <v>1000000</v>
      </c>
      <c r="DK186" s="1008"/>
      <c r="DL186" s="1008"/>
      <c r="DM186" s="1008"/>
      <c r="DN186" s="1008">
        <f t="shared" si="163"/>
        <v>0</v>
      </c>
      <c r="DO186" s="1008">
        <f t="shared" si="163"/>
        <v>0</v>
      </c>
      <c r="DP186" s="1008">
        <f t="shared" si="163"/>
        <v>1000000</v>
      </c>
      <c r="DQ186" s="1008">
        <f t="shared" si="163"/>
        <v>0</v>
      </c>
      <c r="DR186" s="1008"/>
      <c r="DS186" s="1008">
        <f t="shared" si="189"/>
        <v>0</v>
      </c>
      <c r="DT186" s="1008">
        <f t="shared" si="189"/>
        <v>0</v>
      </c>
      <c r="DU186" s="1008"/>
      <c r="DV186" s="1008">
        <f t="shared" si="190"/>
        <v>0</v>
      </c>
      <c r="DW186" s="1008">
        <f t="shared" si="190"/>
        <v>0</v>
      </c>
      <c r="DX186" s="1008">
        <f t="shared" si="190"/>
        <v>0</v>
      </c>
      <c r="DY186" s="1008">
        <f t="shared" si="191"/>
        <v>0</v>
      </c>
      <c r="DZ186" s="1008">
        <f t="shared" si="191"/>
        <v>0</v>
      </c>
      <c r="EA186" s="1008">
        <f t="shared" si="191"/>
        <v>0</v>
      </c>
      <c r="EB186" s="1008">
        <f t="shared" si="191"/>
        <v>0</v>
      </c>
      <c r="EC186" s="1008">
        <f t="shared" si="191"/>
        <v>0</v>
      </c>
      <c r="ED186" s="1008">
        <f t="shared" si="191"/>
        <v>0</v>
      </c>
    </row>
    <row r="187" spans="1:134" ht="24" customHeight="1" x14ac:dyDescent="0.25">
      <c r="A187" s="1560"/>
      <c r="B187" s="989"/>
      <c r="C187" s="852" t="s">
        <v>4648</v>
      </c>
      <c r="D187" s="1019" t="s">
        <v>4695</v>
      </c>
      <c r="E187" s="995">
        <v>510</v>
      </c>
      <c r="F187" s="1120" t="s">
        <v>4482</v>
      </c>
      <c r="G187" s="1400"/>
      <c r="H187" s="1061">
        <f t="shared" si="143"/>
        <v>0</v>
      </c>
      <c r="I187" s="1061">
        <f t="shared" si="144"/>
        <v>5000000</v>
      </c>
      <c r="J187" s="1270">
        <v>0</v>
      </c>
      <c r="K187" s="1586">
        <v>1</v>
      </c>
      <c r="L187" s="1305">
        <v>100</v>
      </c>
      <c r="M187" s="1115">
        <v>0</v>
      </c>
      <c r="N187" s="1115">
        <v>0</v>
      </c>
      <c r="O187" s="1115">
        <v>0</v>
      </c>
      <c r="P187" s="1115">
        <v>0</v>
      </c>
      <c r="Q187" s="1115">
        <v>0</v>
      </c>
      <c r="R187" s="1115">
        <v>0</v>
      </c>
      <c r="S187" s="1120"/>
      <c r="T187" s="1120"/>
      <c r="U187" s="1120"/>
      <c r="V187" s="1120"/>
      <c r="W187" s="1120"/>
      <c r="X187" s="1120"/>
      <c r="Y187" s="1008">
        <f t="shared" si="173"/>
        <v>5000000</v>
      </c>
      <c r="Z187" s="944"/>
      <c r="AA187" s="1008"/>
      <c r="AB187" s="1008"/>
      <c r="AC187" s="1008"/>
      <c r="AD187" s="1008"/>
      <c r="AE187" s="1008">
        <v>5000000</v>
      </c>
      <c r="AF187" s="1008"/>
      <c r="AG187" s="1008"/>
      <c r="AH187" s="1008"/>
      <c r="AI187" s="1008"/>
      <c r="AJ187" s="1008"/>
      <c r="AK187" s="1008"/>
      <c r="AL187" s="1008"/>
      <c r="AM187" s="1008"/>
      <c r="AN187" s="1008"/>
      <c r="AO187" s="1008"/>
      <c r="AP187" s="1008"/>
      <c r="AQ187" s="1008"/>
      <c r="AR187" s="1008"/>
      <c r="AS187" s="1008"/>
      <c r="AU187" s="1011">
        <f t="shared" si="180"/>
        <v>0</v>
      </c>
      <c r="AV187" s="1008">
        <f t="shared" si="174"/>
        <v>0</v>
      </c>
      <c r="AW187" s="1008"/>
      <c r="AX187" s="1008"/>
      <c r="AY187" s="1008"/>
      <c r="AZ187" s="1008"/>
      <c r="BA187" s="1008"/>
      <c r="BB187" s="1008"/>
      <c r="BC187" s="1008"/>
      <c r="BD187" s="1008"/>
      <c r="BE187" s="1008"/>
      <c r="BF187" s="1008"/>
      <c r="BG187" s="1008"/>
      <c r="BH187" s="1008"/>
      <c r="BI187" s="1008"/>
      <c r="BJ187" s="1008"/>
      <c r="BK187" s="1008"/>
      <c r="BL187" s="1008"/>
      <c r="BM187" s="1008"/>
      <c r="BN187" s="1008"/>
      <c r="BO187" s="1008"/>
      <c r="BP187" s="1008"/>
      <c r="BQ187" s="1011">
        <f t="shared" si="181"/>
        <v>1</v>
      </c>
      <c r="BR187" s="1008">
        <f t="shared" si="175"/>
        <v>5000000</v>
      </c>
      <c r="BS187" s="1008">
        <f t="shared" si="182"/>
        <v>0</v>
      </c>
      <c r="BT187" s="1008">
        <f t="shared" si="183"/>
        <v>0</v>
      </c>
      <c r="BU187" s="1008"/>
      <c r="BV187" s="1008">
        <f t="shared" si="162"/>
        <v>0</v>
      </c>
      <c r="BW187" s="1008">
        <f t="shared" si="162"/>
        <v>0</v>
      </c>
      <c r="BX187" s="1008">
        <f t="shared" si="184"/>
        <v>5000000</v>
      </c>
      <c r="BY187" s="1008">
        <f t="shared" si="184"/>
        <v>0</v>
      </c>
      <c r="BZ187" s="1008"/>
      <c r="CA187" s="1008">
        <f t="shared" si="185"/>
        <v>0</v>
      </c>
      <c r="CB187" s="1008">
        <f t="shared" si="185"/>
        <v>0</v>
      </c>
      <c r="CC187" s="1008">
        <f t="shared" si="185"/>
        <v>0</v>
      </c>
      <c r="CD187" s="1008">
        <f t="shared" si="185"/>
        <v>0</v>
      </c>
      <c r="CE187" s="1008">
        <f t="shared" si="185"/>
        <v>0</v>
      </c>
      <c r="CF187" s="1008">
        <f t="shared" si="185"/>
        <v>0</v>
      </c>
      <c r="CG187" s="1008">
        <f t="shared" si="185"/>
        <v>0</v>
      </c>
      <c r="CH187" s="1008">
        <f t="shared" si="185"/>
        <v>0</v>
      </c>
      <c r="CI187" s="1008">
        <f t="shared" si="185"/>
        <v>0</v>
      </c>
      <c r="CJ187" s="1008"/>
      <c r="CK187" s="1008"/>
      <c r="CL187" s="1008">
        <f t="shared" si="186"/>
        <v>0</v>
      </c>
      <c r="CM187" s="1011">
        <f t="shared" si="187"/>
        <v>0</v>
      </c>
      <c r="CN187" s="1008">
        <f t="shared" si="176"/>
        <v>0</v>
      </c>
      <c r="CO187" s="1008"/>
      <c r="CP187" s="1008"/>
      <c r="CQ187" s="1008"/>
      <c r="CR187" s="1008"/>
      <c r="CS187" s="1008"/>
      <c r="CT187" s="1008"/>
      <c r="CU187" s="1008"/>
      <c r="CV187" s="1008"/>
      <c r="CW187" s="1008"/>
      <c r="CX187" s="1008"/>
      <c r="CY187" s="1008"/>
      <c r="CZ187" s="1008"/>
      <c r="DA187" s="1008"/>
      <c r="DB187" s="1008"/>
      <c r="DC187" s="1008"/>
      <c r="DD187" s="1008"/>
      <c r="DE187" s="1008"/>
      <c r="DF187" s="1008"/>
      <c r="DG187" s="1008"/>
      <c r="DH187" s="1008"/>
      <c r="DI187" s="1011">
        <f t="shared" si="188"/>
        <v>1</v>
      </c>
      <c r="DJ187" s="1008">
        <f t="shared" si="177"/>
        <v>5000000</v>
      </c>
      <c r="DK187" s="1008"/>
      <c r="DL187" s="1008"/>
      <c r="DM187" s="1008"/>
      <c r="DN187" s="1008">
        <f t="shared" si="163"/>
        <v>0</v>
      </c>
      <c r="DO187" s="1008">
        <f t="shared" si="163"/>
        <v>0</v>
      </c>
      <c r="DP187" s="1008">
        <f t="shared" si="163"/>
        <v>5000000</v>
      </c>
      <c r="DQ187" s="1008">
        <f t="shared" si="163"/>
        <v>0</v>
      </c>
      <c r="DR187" s="1008"/>
      <c r="DS187" s="1008">
        <f t="shared" si="189"/>
        <v>0</v>
      </c>
      <c r="DT187" s="1008">
        <f t="shared" si="189"/>
        <v>0</v>
      </c>
      <c r="DU187" s="1008"/>
      <c r="DV187" s="1008">
        <f t="shared" si="190"/>
        <v>0</v>
      </c>
      <c r="DW187" s="1008">
        <f t="shared" si="190"/>
        <v>0</v>
      </c>
      <c r="DX187" s="1008">
        <f t="shared" si="190"/>
        <v>0</v>
      </c>
      <c r="DY187" s="1008">
        <f t="shared" si="191"/>
        <v>0</v>
      </c>
      <c r="DZ187" s="1008">
        <f t="shared" si="191"/>
        <v>0</v>
      </c>
      <c r="EA187" s="1008">
        <f t="shared" si="191"/>
        <v>0</v>
      </c>
      <c r="EB187" s="1008">
        <f t="shared" si="191"/>
        <v>0</v>
      </c>
      <c r="EC187" s="1008">
        <f t="shared" si="191"/>
        <v>0</v>
      </c>
      <c r="ED187" s="1008">
        <f t="shared" si="191"/>
        <v>0</v>
      </c>
    </row>
    <row r="188" spans="1:134" ht="51" customHeight="1" x14ac:dyDescent="0.25">
      <c r="A188" s="1560"/>
      <c r="B188" s="989"/>
      <c r="C188" s="852" t="s">
        <v>4649</v>
      </c>
      <c r="D188" s="1019" t="s">
        <v>4645</v>
      </c>
      <c r="E188" s="995">
        <v>510</v>
      </c>
      <c r="F188" s="1120" t="s">
        <v>4482</v>
      </c>
      <c r="G188" s="1400"/>
      <c r="H188" s="1061">
        <f t="shared" si="143"/>
        <v>77930000</v>
      </c>
      <c r="I188" s="1061">
        <f t="shared" si="144"/>
        <v>33070000</v>
      </c>
      <c r="J188" s="1270"/>
      <c r="K188" s="1586"/>
      <c r="L188" s="1305"/>
      <c r="M188" s="1115">
        <v>0</v>
      </c>
      <c r="N188" s="1115">
        <v>0</v>
      </c>
      <c r="O188" s="1115">
        <v>0</v>
      </c>
      <c r="P188" s="1115">
        <v>0</v>
      </c>
      <c r="Q188" s="1115">
        <v>0</v>
      </c>
      <c r="R188" s="1115">
        <v>0</v>
      </c>
      <c r="S188" s="1120"/>
      <c r="T188" s="1120"/>
      <c r="U188" s="1120"/>
      <c r="V188" s="1120"/>
      <c r="W188" s="1120"/>
      <c r="X188" s="1120"/>
      <c r="Y188" s="1008">
        <f t="shared" si="173"/>
        <v>111000000</v>
      </c>
      <c r="Z188" s="944"/>
      <c r="AA188" s="1008"/>
      <c r="AB188" s="1008"/>
      <c r="AC188" s="1008"/>
      <c r="AD188" s="1008"/>
      <c r="AE188" s="1008">
        <v>111000000</v>
      </c>
      <c r="AF188" s="1008"/>
      <c r="AG188" s="1008"/>
      <c r="AH188" s="1008"/>
      <c r="AI188" s="1008"/>
      <c r="AJ188" s="1008"/>
      <c r="AK188" s="1008"/>
      <c r="AL188" s="1008"/>
      <c r="AM188" s="1008"/>
      <c r="AN188" s="1008"/>
      <c r="AO188" s="1008"/>
      <c r="AP188" s="1008"/>
      <c r="AQ188" s="1008"/>
      <c r="AR188" s="1008"/>
      <c r="AS188" s="1008"/>
      <c r="AU188" s="1011">
        <f t="shared" si="180"/>
        <v>1</v>
      </c>
      <c r="AV188" s="1008">
        <f t="shared" si="174"/>
        <v>111000000</v>
      </c>
      <c r="AW188" s="1008"/>
      <c r="AX188" s="1008"/>
      <c r="AY188" s="1008"/>
      <c r="AZ188" s="1008"/>
      <c r="BA188" s="1008"/>
      <c r="BB188" s="1008">
        <f>+'[18]OCTUBRE 2015'!$O$3273</f>
        <v>111000000</v>
      </c>
      <c r="BC188" s="1008"/>
      <c r="BD188" s="1008"/>
      <c r="BE188" s="1008"/>
      <c r="BF188" s="1008"/>
      <c r="BG188" s="1008"/>
      <c r="BH188" s="1008"/>
      <c r="BI188" s="1008"/>
      <c r="BJ188" s="1008"/>
      <c r="BK188" s="1008"/>
      <c r="BL188" s="1008"/>
      <c r="BM188" s="1008"/>
      <c r="BN188" s="1008"/>
      <c r="BO188" s="1008"/>
      <c r="BP188" s="1008"/>
      <c r="BQ188" s="1011">
        <f t="shared" si="181"/>
        <v>0</v>
      </c>
      <c r="BR188" s="1008">
        <f t="shared" si="175"/>
        <v>0</v>
      </c>
      <c r="BS188" s="1008">
        <f t="shared" si="182"/>
        <v>0</v>
      </c>
      <c r="BT188" s="1008">
        <f t="shared" si="183"/>
        <v>0</v>
      </c>
      <c r="BU188" s="1008"/>
      <c r="BV188" s="1008">
        <f t="shared" si="162"/>
        <v>0</v>
      </c>
      <c r="BW188" s="1008">
        <f t="shared" si="162"/>
        <v>0</v>
      </c>
      <c r="BX188" s="1008">
        <f t="shared" si="184"/>
        <v>0</v>
      </c>
      <c r="BY188" s="1008">
        <f t="shared" si="184"/>
        <v>0</v>
      </c>
      <c r="BZ188" s="1008"/>
      <c r="CA188" s="1008">
        <f t="shared" si="185"/>
        <v>0</v>
      </c>
      <c r="CB188" s="1008">
        <f t="shared" si="185"/>
        <v>0</v>
      </c>
      <c r="CC188" s="1008">
        <f t="shared" si="185"/>
        <v>0</v>
      </c>
      <c r="CD188" s="1008">
        <f t="shared" si="185"/>
        <v>0</v>
      </c>
      <c r="CE188" s="1008">
        <f t="shared" si="185"/>
        <v>0</v>
      </c>
      <c r="CF188" s="1008">
        <f t="shared" si="185"/>
        <v>0</v>
      </c>
      <c r="CG188" s="1008">
        <f t="shared" si="185"/>
        <v>0</v>
      </c>
      <c r="CH188" s="1008">
        <f t="shared" si="185"/>
        <v>0</v>
      </c>
      <c r="CI188" s="1008">
        <f t="shared" si="185"/>
        <v>0</v>
      </c>
      <c r="CJ188" s="1008"/>
      <c r="CK188" s="1008"/>
      <c r="CL188" s="1008">
        <f t="shared" si="186"/>
        <v>0</v>
      </c>
      <c r="CM188" s="1011">
        <f t="shared" si="187"/>
        <v>0.70207207207207212</v>
      </c>
      <c r="CN188" s="1008">
        <f t="shared" si="176"/>
        <v>77930000</v>
      </c>
      <c r="CO188" s="1008"/>
      <c r="CP188" s="1008"/>
      <c r="CQ188" s="1008"/>
      <c r="CR188" s="1008"/>
      <c r="CS188" s="1008"/>
      <c r="CT188" s="1008">
        <f>+'[18]OCTUBRE 2015'!$H$3271</f>
        <v>77930000</v>
      </c>
      <c r="CU188" s="1008"/>
      <c r="CV188" s="1008"/>
      <c r="CW188" s="1008"/>
      <c r="CX188" s="1008"/>
      <c r="CY188" s="1008"/>
      <c r="CZ188" s="1008"/>
      <c r="DA188" s="1008"/>
      <c r="DB188" s="1008"/>
      <c r="DC188" s="1008"/>
      <c r="DD188" s="1008"/>
      <c r="DE188" s="1008"/>
      <c r="DF188" s="1008"/>
      <c r="DG188" s="1008"/>
      <c r="DH188" s="1008"/>
      <c r="DI188" s="1011">
        <f t="shared" si="188"/>
        <v>0.29792792792792788</v>
      </c>
      <c r="DJ188" s="1008">
        <f t="shared" si="177"/>
        <v>33070000</v>
      </c>
      <c r="DK188" s="1008"/>
      <c r="DL188" s="1008"/>
      <c r="DM188" s="1008"/>
      <c r="DN188" s="1008">
        <f t="shared" si="163"/>
        <v>0</v>
      </c>
      <c r="DO188" s="1008">
        <f t="shared" si="163"/>
        <v>0</v>
      </c>
      <c r="DP188" s="1008">
        <f t="shared" si="163"/>
        <v>33070000</v>
      </c>
      <c r="DQ188" s="1008">
        <f t="shared" si="163"/>
        <v>0</v>
      </c>
      <c r="DR188" s="1008"/>
      <c r="DS188" s="1008">
        <f t="shared" si="189"/>
        <v>0</v>
      </c>
      <c r="DT188" s="1008">
        <f t="shared" si="189"/>
        <v>0</v>
      </c>
      <c r="DU188" s="1008"/>
      <c r="DV188" s="1008">
        <f t="shared" si="190"/>
        <v>0</v>
      </c>
      <c r="DW188" s="1008">
        <f t="shared" si="190"/>
        <v>0</v>
      </c>
      <c r="DX188" s="1008">
        <f t="shared" si="190"/>
        <v>0</v>
      </c>
      <c r="DY188" s="1008">
        <f t="shared" si="191"/>
        <v>0</v>
      </c>
      <c r="DZ188" s="1008">
        <f t="shared" si="191"/>
        <v>0</v>
      </c>
      <c r="EA188" s="1008">
        <f t="shared" si="191"/>
        <v>0</v>
      </c>
      <c r="EB188" s="1008">
        <f t="shared" si="191"/>
        <v>0</v>
      </c>
      <c r="EC188" s="1008">
        <f t="shared" si="191"/>
        <v>0</v>
      </c>
      <c r="ED188" s="1008">
        <f t="shared" si="191"/>
        <v>0</v>
      </c>
    </row>
    <row r="189" spans="1:134" ht="34.5" customHeight="1" x14ac:dyDescent="0.25">
      <c r="A189" s="1560"/>
      <c r="B189" s="989"/>
      <c r="C189" s="852" t="s">
        <v>4650</v>
      </c>
      <c r="D189" s="1019" t="s">
        <v>4646</v>
      </c>
      <c r="E189" s="995">
        <v>510</v>
      </c>
      <c r="F189" s="1120" t="s">
        <v>4482</v>
      </c>
      <c r="G189" s="1400"/>
      <c r="H189" s="1061">
        <f t="shared" si="143"/>
        <v>0</v>
      </c>
      <c r="I189" s="1061">
        <f t="shared" si="144"/>
        <v>3000000</v>
      </c>
      <c r="J189" s="1270">
        <v>0</v>
      </c>
      <c r="K189" s="1586">
        <v>1</v>
      </c>
      <c r="L189" s="1305">
        <v>50</v>
      </c>
      <c r="M189" s="1115">
        <v>0</v>
      </c>
      <c r="N189" s="1115">
        <v>0</v>
      </c>
      <c r="O189" s="1115">
        <v>0</v>
      </c>
      <c r="P189" s="1115">
        <v>0</v>
      </c>
      <c r="Q189" s="1115">
        <v>0</v>
      </c>
      <c r="R189" s="1115">
        <v>0</v>
      </c>
      <c r="S189" s="1120"/>
      <c r="T189" s="1120"/>
      <c r="U189" s="1120"/>
      <c r="V189" s="1120"/>
      <c r="W189" s="1120"/>
      <c r="X189" s="1120"/>
      <c r="Y189" s="1008">
        <f t="shared" si="173"/>
        <v>3000000</v>
      </c>
      <c r="Z189" s="944"/>
      <c r="AA189" s="1008"/>
      <c r="AB189" s="1008"/>
      <c r="AC189" s="1008"/>
      <c r="AD189" s="1008"/>
      <c r="AE189" s="1008">
        <v>3000000</v>
      </c>
      <c r="AF189" s="1008"/>
      <c r="AG189" s="1008"/>
      <c r="AH189" s="1008"/>
      <c r="AI189" s="1008"/>
      <c r="AJ189" s="1008"/>
      <c r="AK189" s="1008"/>
      <c r="AL189" s="1008"/>
      <c r="AM189" s="1008"/>
      <c r="AN189" s="1008"/>
      <c r="AO189" s="1008"/>
      <c r="AP189" s="1008"/>
      <c r="AQ189" s="1008"/>
      <c r="AR189" s="1008"/>
      <c r="AS189" s="1008"/>
      <c r="AU189" s="1011">
        <f t="shared" si="180"/>
        <v>0</v>
      </c>
      <c r="AV189" s="1008">
        <f t="shared" si="174"/>
        <v>0</v>
      </c>
      <c r="AW189" s="1008"/>
      <c r="AX189" s="1008"/>
      <c r="AY189" s="1008"/>
      <c r="AZ189" s="1008"/>
      <c r="BA189" s="1008"/>
      <c r="BB189" s="1008"/>
      <c r="BC189" s="1008"/>
      <c r="BD189" s="1008"/>
      <c r="BE189" s="1008"/>
      <c r="BF189" s="1008"/>
      <c r="BG189" s="1008"/>
      <c r="BH189" s="1008"/>
      <c r="BI189" s="1008"/>
      <c r="BJ189" s="1008"/>
      <c r="BK189" s="1008"/>
      <c r="BL189" s="1008"/>
      <c r="BM189" s="1008"/>
      <c r="BN189" s="1008"/>
      <c r="BO189" s="1008"/>
      <c r="BP189" s="1008"/>
      <c r="BQ189" s="1011">
        <f t="shared" si="181"/>
        <v>1</v>
      </c>
      <c r="BR189" s="1008">
        <f t="shared" si="175"/>
        <v>3000000</v>
      </c>
      <c r="BS189" s="1008">
        <f t="shared" si="182"/>
        <v>0</v>
      </c>
      <c r="BT189" s="1008">
        <f t="shared" si="183"/>
        <v>0</v>
      </c>
      <c r="BU189" s="1008"/>
      <c r="BV189" s="1008">
        <f t="shared" si="162"/>
        <v>0</v>
      </c>
      <c r="BW189" s="1008">
        <f t="shared" si="162"/>
        <v>0</v>
      </c>
      <c r="BX189" s="1008">
        <f t="shared" si="184"/>
        <v>3000000</v>
      </c>
      <c r="BY189" s="1008">
        <f t="shared" si="184"/>
        <v>0</v>
      </c>
      <c r="BZ189" s="1008"/>
      <c r="CA189" s="1008">
        <f t="shared" si="185"/>
        <v>0</v>
      </c>
      <c r="CB189" s="1008">
        <f t="shared" si="185"/>
        <v>0</v>
      </c>
      <c r="CC189" s="1008">
        <f t="shared" si="185"/>
        <v>0</v>
      </c>
      <c r="CD189" s="1008">
        <f t="shared" si="185"/>
        <v>0</v>
      </c>
      <c r="CE189" s="1008">
        <f t="shared" si="185"/>
        <v>0</v>
      </c>
      <c r="CF189" s="1008">
        <f t="shared" si="185"/>
        <v>0</v>
      </c>
      <c r="CG189" s="1008">
        <f t="shared" si="185"/>
        <v>0</v>
      </c>
      <c r="CH189" s="1008">
        <f t="shared" si="185"/>
        <v>0</v>
      </c>
      <c r="CI189" s="1008">
        <f t="shared" si="185"/>
        <v>0</v>
      </c>
      <c r="CJ189" s="1008"/>
      <c r="CK189" s="1008"/>
      <c r="CL189" s="1008">
        <f t="shared" si="186"/>
        <v>0</v>
      </c>
      <c r="CM189" s="1011">
        <f t="shared" si="187"/>
        <v>0</v>
      </c>
      <c r="CN189" s="1008">
        <f t="shared" si="176"/>
        <v>0</v>
      </c>
      <c r="CO189" s="1008"/>
      <c r="CP189" s="1008"/>
      <c r="CQ189" s="1008"/>
      <c r="CR189" s="1008"/>
      <c r="CS189" s="1008"/>
      <c r="CT189" s="1008"/>
      <c r="CU189" s="1008"/>
      <c r="CV189" s="1008"/>
      <c r="CW189" s="1008"/>
      <c r="CX189" s="1008"/>
      <c r="CY189" s="1008"/>
      <c r="CZ189" s="1008"/>
      <c r="DA189" s="1008"/>
      <c r="DB189" s="1008"/>
      <c r="DC189" s="1008"/>
      <c r="DD189" s="1008"/>
      <c r="DE189" s="1008"/>
      <c r="DF189" s="1008"/>
      <c r="DG189" s="1008"/>
      <c r="DH189" s="1008"/>
      <c r="DI189" s="1011">
        <f t="shared" si="188"/>
        <v>1</v>
      </c>
      <c r="DJ189" s="1008">
        <f t="shared" si="177"/>
        <v>3000000</v>
      </c>
      <c r="DK189" s="1008"/>
      <c r="DL189" s="1008"/>
      <c r="DM189" s="1008"/>
      <c r="DN189" s="1008">
        <f t="shared" si="163"/>
        <v>0</v>
      </c>
      <c r="DO189" s="1008">
        <f t="shared" si="163"/>
        <v>0</v>
      </c>
      <c r="DP189" s="1008">
        <f t="shared" si="163"/>
        <v>3000000</v>
      </c>
      <c r="DQ189" s="1008">
        <f t="shared" si="163"/>
        <v>0</v>
      </c>
      <c r="DR189" s="1008"/>
      <c r="DS189" s="1008">
        <f t="shared" si="189"/>
        <v>0</v>
      </c>
      <c r="DT189" s="1008">
        <f t="shared" si="189"/>
        <v>0</v>
      </c>
      <c r="DU189" s="1008"/>
      <c r="DV189" s="1008">
        <f t="shared" si="190"/>
        <v>0</v>
      </c>
      <c r="DW189" s="1008">
        <f t="shared" si="190"/>
        <v>0</v>
      </c>
      <c r="DX189" s="1008">
        <f t="shared" si="190"/>
        <v>0</v>
      </c>
      <c r="DY189" s="1008">
        <f t="shared" si="191"/>
        <v>0</v>
      </c>
      <c r="DZ189" s="1008">
        <f t="shared" si="191"/>
        <v>0</v>
      </c>
      <c r="EA189" s="1008">
        <f t="shared" si="191"/>
        <v>0</v>
      </c>
      <c r="EB189" s="1008">
        <f t="shared" si="191"/>
        <v>0</v>
      </c>
      <c r="EC189" s="1008">
        <f t="shared" si="191"/>
        <v>0</v>
      </c>
      <c r="ED189" s="1008">
        <f t="shared" si="191"/>
        <v>0</v>
      </c>
    </row>
    <row r="190" spans="1:134" ht="23.25" customHeight="1" x14ac:dyDescent="0.25">
      <c r="A190" s="1560"/>
      <c r="B190" s="989"/>
      <c r="C190" s="852" t="s">
        <v>4678</v>
      </c>
      <c r="D190" s="1019" t="s">
        <v>4677</v>
      </c>
      <c r="E190" s="995">
        <v>510</v>
      </c>
      <c r="F190" s="1120" t="s">
        <v>4482</v>
      </c>
      <c r="G190" s="1401"/>
      <c r="H190" s="1061">
        <f t="shared" si="143"/>
        <v>80640865</v>
      </c>
      <c r="I190" s="1061">
        <f t="shared" si="144"/>
        <v>19359135</v>
      </c>
      <c r="J190" s="1270"/>
      <c r="K190" s="1586"/>
      <c r="L190" s="1305"/>
      <c r="M190" s="1115">
        <v>9</v>
      </c>
      <c r="N190" s="1115"/>
      <c r="O190" s="1115">
        <v>0</v>
      </c>
      <c r="P190" s="1115">
        <v>56</v>
      </c>
      <c r="Q190" s="1115">
        <v>60</v>
      </c>
      <c r="R190" s="1115">
        <v>33</v>
      </c>
      <c r="S190" s="1120"/>
      <c r="T190" s="1120"/>
      <c r="U190" s="1120"/>
      <c r="V190" s="1120"/>
      <c r="W190" s="1120"/>
      <c r="X190" s="1120"/>
      <c r="Y190" s="1008">
        <f t="shared" si="173"/>
        <v>100000000</v>
      </c>
      <c r="Z190" s="944"/>
      <c r="AA190" s="1008"/>
      <c r="AB190" s="1008"/>
      <c r="AC190" s="1008"/>
      <c r="AD190" s="1008"/>
      <c r="AE190" s="1008"/>
      <c r="AF190" s="1008"/>
      <c r="AG190" s="1008"/>
      <c r="AH190" s="1008"/>
      <c r="AI190" s="1008"/>
      <c r="AJ190" s="1008"/>
      <c r="AK190" s="1008"/>
      <c r="AL190" s="1008"/>
      <c r="AM190" s="1008"/>
      <c r="AN190" s="1008">
        <v>100000000</v>
      </c>
      <c r="AO190" s="1008"/>
      <c r="AP190" s="1008"/>
      <c r="AQ190" s="1008"/>
      <c r="AR190" s="1008"/>
      <c r="AS190" s="1008"/>
      <c r="AU190" s="1011">
        <f t="shared" si="180"/>
        <v>0.99939999999999996</v>
      </c>
      <c r="AV190" s="1008">
        <f t="shared" si="174"/>
        <v>99940000</v>
      </c>
      <c r="AW190" s="1008"/>
      <c r="AX190" s="1008"/>
      <c r="AY190" s="1008"/>
      <c r="AZ190" s="1008"/>
      <c r="BA190" s="1008"/>
      <c r="BB190" s="1008"/>
      <c r="BC190" s="1008"/>
      <c r="BD190" s="1008"/>
      <c r="BE190" s="1008"/>
      <c r="BF190" s="1008"/>
      <c r="BG190" s="1008"/>
      <c r="BH190" s="1008"/>
      <c r="BI190" s="1008"/>
      <c r="BJ190" s="1008"/>
      <c r="BK190" s="1008">
        <f>+'[16]AGOSTO 2015'!$G$2329</f>
        <v>99940000</v>
      </c>
      <c r="BL190" s="1008"/>
      <c r="BM190" s="1008"/>
      <c r="BN190" s="1008"/>
      <c r="BO190" s="1008"/>
      <c r="BP190" s="1008"/>
      <c r="BQ190" s="1011">
        <f t="shared" si="181"/>
        <v>6.0000000000004494E-4</v>
      </c>
      <c r="BR190" s="1008">
        <f t="shared" si="175"/>
        <v>60000</v>
      </c>
      <c r="BS190" s="1008">
        <f t="shared" si="182"/>
        <v>0</v>
      </c>
      <c r="BT190" s="1008">
        <f t="shared" si="183"/>
        <v>0</v>
      </c>
      <c r="BU190" s="1008"/>
      <c r="BV190" s="1008">
        <f t="shared" si="162"/>
        <v>0</v>
      </c>
      <c r="BW190" s="1008">
        <f t="shared" si="162"/>
        <v>0</v>
      </c>
      <c r="BX190" s="1008">
        <f t="shared" si="184"/>
        <v>0</v>
      </c>
      <c r="BY190" s="1008">
        <f t="shared" si="184"/>
        <v>0</v>
      </c>
      <c r="BZ190" s="1008"/>
      <c r="CA190" s="1008">
        <f t="shared" si="185"/>
        <v>0</v>
      </c>
      <c r="CB190" s="1008">
        <f t="shared" si="185"/>
        <v>0</v>
      </c>
      <c r="CC190" s="1008">
        <f t="shared" si="185"/>
        <v>0</v>
      </c>
      <c r="CD190" s="1008">
        <f t="shared" si="185"/>
        <v>0</v>
      </c>
      <c r="CE190" s="1008">
        <f t="shared" si="185"/>
        <v>0</v>
      </c>
      <c r="CF190" s="1008">
        <f t="shared" si="185"/>
        <v>0</v>
      </c>
      <c r="CG190" s="1008">
        <f t="shared" si="185"/>
        <v>60000</v>
      </c>
      <c r="CH190" s="1008">
        <f t="shared" si="185"/>
        <v>0</v>
      </c>
      <c r="CI190" s="1008">
        <f t="shared" si="185"/>
        <v>0</v>
      </c>
      <c r="CJ190" s="1008"/>
      <c r="CK190" s="1008"/>
      <c r="CL190" s="1008">
        <f t="shared" si="186"/>
        <v>0</v>
      </c>
      <c r="CM190" s="1011">
        <f t="shared" si="187"/>
        <v>0.80640864999999995</v>
      </c>
      <c r="CN190" s="1008">
        <f t="shared" si="176"/>
        <v>80640865</v>
      </c>
      <c r="CO190" s="1008"/>
      <c r="CP190" s="1008"/>
      <c r="CQ190" s="1008"/>
      <c r="CR190" s="1008"/>
      <c r="CS190" s="1008"/>
      <c r="CT190" s="1008"/>
      <c r="CU190" s="1008"/>
      <c r="CV190" s="1008"/>
      <c r="CW190" s="1008"/>
      <c r="CX190" s="1008"/>
      <c r="CY190" s="1008"/>
      <c r="CZ190" s="1008"/>
      <c r="DA190" s="1008"/>
      <c r="DB190" s="1008"/>
      <c r="DC190" s="1008">
        <f>+'[17]SEPTIEMBRE 2015'!$H$2839</f>
        <v>80640865</v>
      </c>
      <c r="DD190" s="1008"/>
      <c r="DE190" s="1008"/>
      <c r="DF190" s="1008"/>
      <c r="DG190" s="1008"/>
      <c r="DH190" s="1008"/>
      <c r="DI190" s="1011">
        <f t="shared" si="188"/>
        <v>0.19359135000000005</v>
      </c>
      <c r="DJ190" s="1008">
        <f t="shared" si="177"/>
        <v>19359135</v>
      </c>
      <c r="DK190" s="1008"/>
      <c r="DL190" s="1008"/>
      <c r="DM190" s="1008"/>
      <c r="DN190" s="1008">
        <f t="shared" si="163"/>
        <v>0</v>
      </c>
      <c r="DO190" s="1008">
        <f t="shared" si="163"/>
        <v>0</v>
      </c>
      <c r="DP190" s="1008">
        <f t="shared" si="163"/>
        <v>0</v>
      </c>
      <c r="DQ190" s="1008">
        <f t="shared" si="163"/>
        <v>0</v>
      </c>
      <c r="DR190" s="1008"/>
      <c r="DS190" s="1008">
        <f t="shared" si="189"/>
        <v>0</v>
      </c>
      <c r="DT190" s="1008">
        <f t="shared" si="189"/>
        <v>0</v>
      </c>
      <c r="DU190" s="1008"/>
      <c r="DV190" s="1008">
        <f t="shared" si="190"/>
        <v>0</v>
      </c>
      <c r="DW190" s="1008">
        <f t="shared" si="190"/>
        <v>0</v>
      </c>
      <c r="DX190" s="1008">
        <f t="shared" si="190"/>
        <v>0</v>
      </c>
      <c r="DY190" s="1008">
        <f t="shared" si="191"/>
        <v>19359135</v>
      </c>
      <c r="DZ190" s="1008">
        <f t="shared" si="191"/>
        <v>0</v>
      </c>
      <c r="EA190" s="1008">
        <f t="shared" si="191"/>
        <v>0</v>
      </c>
      <c r="EB190" s="1008">
        <f t="shared" si="191"/>
        <v>0</v>
      </c>
      <c r="EC190" s="1008">
        <f t="shared" si="191"/>
        <v>0</v>
      </c>
      <c r="ED190" s="1008">
        <f t="shared" si="191"/>
        <v>0</v>
      </c>
    </row>
    <row r="191" spans="1:134" s="203" customFormat="1" ht="54" customHeight="1" x14ac:dyDescent="0.25">
      <c r="A191" s="1560"/>
      <c r="B191" s="989" t="s">
        <v>4454</v>
      </c>
      <c r="C191" s="1081" t="s">
        <v>4667</v>
      </c>
      <c r="D191" s="1019" t="s">
        <v>4666</v>
      </c>
      <c r="E191" s="997">
        <v>510</v>
      </c>
      <c r="F191" s="1120" t="s">
        <v>4482</v>
      </c>
      <c r="G191" s="1120">
        <v>5000000</v>
      </c>
      <c r="H191" s="1061">
        <f t="shared" si="143"/>
        <v>0</v>
      </c>
      <c r="I191" s="1061">
        <f t="shared" si="144"/>
        <v>0</v>
      </c>
      <c r="J191" s="1120">
        <v>0</v>
      </c>
      <c r="K191" s="1135">
        <v>1</v>
      </c>
      <c r="L191" s="1115">
        <v>50</v>
      </c>
      <c r="M191" s="1075">
        <v>0</v>
      </c>
      <c r="N191" s="1075">
        <v>0</v>
      </c>
      <c r="O191" s="1075">
        <v>0</v>
      </c>
      <c r="P191" s="1075"/>
      <c r="Q191" s="1075"/>
      <c r="R191" s="1075"/>
      <c r="S191" s="1120"/>
      <c r="T191" s="1120"/>
      <c r="U191" s="1120"/>
      <c r="V191" s="1120"/>
      <c r="W191" s="1120"/>
      <c r="X191" s="1120"/>
      <c r="Y191" s="1067">
        <f t="shared" si="173"/>
        <v>0</v>
      </c>
      <c r="Z191" s="149"/>
      <c r="AA191" s="1067"/>
      <c r="AB191" s="1067"/>
      <c r="AC191" s="1067"/>
      <c r="AD191" s="1067"/>
      <c r="AE191" s="1067">
        <f>5000000-5000000</f>
        <v>0</v>
      </c>
      <c r="AF191" s="1067"/>
      <c r="AG191" s="1067"/>
      <c r="AH191" s="1067"/>
      <c r="AI191" s="1067"/>
      <c r="AJ191" s="1067"/>
      <c r="AK191" s="1067"/>
      <c r="AL191" s="1067"/>
      <c r="AM191" s="1067"/>
      <c r="AN191" s="1067"/>
      <c r="AO191" s="1067"/>
      <c r="AP191" s="1067"/>
      <c r="AQ191" s="1067"/>
      <c r="AR191" s="1067"/>
      <c r="AS191" s="1067"/>
      <c r="AU191" s="1082">
        <v>0</v>
      </c>
      <c r="AV191" s="1067">
        <f t="shared" si="174"/>
        <v>0</v>
      </c>
      <c r="AW191" s="1067"/>
      <c r="AX191" s="1067"/>
      <c r="AY191" s="1067"/>
      <c r="AZ191" s="1067"/>
      <c r="BA191" s="1067"/>
      <c r="BB191" s="1067"/>
      <c r="BC191" s="1067"/>
      <c r="BD191" s="1067"/>
      <c r="BE191" s="1067"/>
      <c r="BF191" s="1067"/>
      <c r="BG191" s="1067"/>
      <c r="BH191" s="1067"/>
      <c r="BI191" s="1067"/>
      <c r="BJ191" s="1067"/>
      <c r="BK191" s="1067"/>
      <c r="BL191" s="1067"/>
      <c r="BM191" s="1067"/>
      <c r="BN191" s="1067"/>
      <c r="BO191" s="1067"/>
      <c r="BP191" s="1067"/>
      <c r="BQ191" s="1082">
        <v>0</v>
      </c>
      <c r="BR191" s="1067">
        <f t="shared" si="175"/>
        <v>0</v>
      </c>
      <c r="BS191" s="1067">
        <f t="shared" si="182"/>
        <v>0</v>
      </c>
      <c r="BT191" s="1067">
        <f t="shared" si="183"/>
        <v>0</v>
      </c>
      <c r="BU191" s="1067"/>
      <c r="BV191" s="1067">
        <f t="shared" si="162"/>
        <v>0</v>
      </c>
      <c r="BW191" s="1067">
        <f t="shared" si="162"/>
        <v>0</v>
      </c>
      <c r="BX191" s="1067">
        <f t="shared" si="184"/>
        <v>0</v>
      </c>
      <c r="BY191" s="1067">
        <f t="shared" si="184"/>
        <v>0</v>
      </c>
      <c r="BZ191" s="1067"/>
      <c r="CA191" s="1067">
        <f t="shared" si="185"/>
        <v>0</v>
      </c>
      <c r="CB191" s="1067">
        <f t="shared" si="185"/>
        <v>0</v>
      </c>
      <c r="CC191" s="1067">
        <f t="shared" si="185"/>
        <v>0</v>
      </c>
      <c r="CD191" s="1067">
        <f t="shared" si="185"/>
        <v>0</v>
      </c>
      <c r="CE191" s="1067">
        <f t="shared" si="185"/>
        <v>0</v>
      </c>
      <c r="CF191" s="1067">
        <f t="shared" si="185"/>
        <v>0</v>
      </c>
      <c r="CG191" s="1067">
        <f t="shared" si="185"/>
        <v>0</v>
      </c>
      <c r="CH191" s="1067">
        <f t="shared" si="185"/>
        <v>0</v>
      </c>
      <c r="CI191" s="1067">
        <f t="shared" si="185"/>
        <v>0</v>
      </c>
      <c r="CJ191" s="1067"/>
      <c r="CK191" s="1067"/>
      <c r="CL191" s="1067">
        <f t="shared" si="186"/>
        <v>0</v>
      </c>
      <c r="CM191" s="1082">
        <v>0</v>
      </c>
      <c r="CN191" s="1067">
        <f t="shared" si="176"/>
        <v>0</v>
      </c>
      <c r="CO191" s="1067"/>
      <c r="CP191" s="1067"/>
      <c r="CQ191" s="1067"/>
      <c r="CR191" s="1067"/>
      <c r="CS191" s="1067"/>
      <c r="CT191" s="1067"/>
      <c r="CU191" s="1067"/>
      <c r="CV191" s="1067"/>
      <c r="CW191" s="1067"/>
      <c r="CX191" s="1067"/>
      <c r="CY191" s="1067"/>
      <c r="CZ191" s="1067"/>
      <c r="DA191" s="1067"/>
      <c r="DB191" s="1067"/>
      <c r="DC191" s="1067"/>
      <c r="DD191" s="1067"/>
      <c r="DE191" s="1067"/>
      <c r="DF191" s="1067"/>
      <c r="DG191" s="1067"/>
      <c r="DH191" s="1067"/>
      <c r="DI191" s="1082">
        <v>0</v>
      </c>
      <c r="DJ191" s="1067">
        <f t="shared" si="177"/>
        <v>0</v>
      </c>
      <c r="DK191" s="1067"/>
      <c r="DL191" s="1067"/>
      <c r="DM191" s="1067"/>
      <c r="DN191" s="1067">
        <f t="shared" si="163"/>
        <v>0</v>
      </c>
      <c r="DO191" s="1067">
        <f t="shared" si="163"/>
        <v>0</v>
      </c>
      <c r="DP191" s="1067">
        <f t="shared" si="163"/>
        <v>0</v>
      </c>
      <c r="DQ191" s="1067">
        <f t="shared" si="163"/>
        <v>0</v>
      </c>
      <c r="DR191" s="1067"/>
      <c r="DS191" s="1067">
        <f t="shared" si="189"/>
        <v>0</v>
      </c>
      <c r="DT191" s="1067">
        <f t="shared" si="189"/>
        <v>0</v>
      </c>
      <c r="DU191" s="1067"/>
      <c r="DV191" s="1067">
        <f t="shared" si="190"/>
        <v>0</v>
      </c>
      <c r="DW191" s="1067">
        <f t="shared" si="190"/>
        <v>0</v>
      </c>
      <c r="DX191" s="1067">
        <f t="shared" si="190"/>
        <v>0</v>
      </c>
      <c r="DY191" s="1067">
        <f t="shared" si="191"/>
        <v>0</v>
      </c>
      <c r="DZ191" s="1067">
        <f t="shared" si="191"/>
        <v>0</v>
      </c>
      <c r="EA191" s="1067">
        <f t="shared" si="191"/>
        <v>0</v>
      </c>
      <c r="EB191" s="1067">
        <f t="shared" si="191"/>
        <v>0</v>
      </c>
      <c r="EC191" s="1067">
        <f t="shared" si="191"/>
        <v>0</v>
      </c>
      <c r="ED191" s="1067">
        <f t="shared" si="191"/>
        <v>0</v>
      </c>
    </row>
    <row r="192" spans="1:134" ht="48.75" customHeight="1" x14ac:dyDescent="0.25">
      <c r="A192" s="1560"/>
      <c r="B192" s="989" t="s">
        <v>4455</v>
      </c>
      <c r="C192" s="1116" t="s">
        <v>4664</v>
      </c>
      <c r="D192" s="1019" t="s">
        <v>4663</v>
      </c>
      <c r="E192" s="995">
        <v>310</v>
      </c>
      <c r="F192" s="1120" t="s">
        <v>4482</v>
      </c>
      <c r="G192" s="1399">
        <v>287000000</v>
      </c>
      <c r="H192" s="1061">
        <f t="shared" si="143"/>
        <v>194853743</v>
      </c>
      <c r="I192" s="1061">
        <f t="shared" si="144"/>
        <v>78490678</v>
      </c>
      <c r="J192" s="1270">
        <v>180</v>
      </c>
      <c r="K192" s="1305">
        <v>206</v>
      </c>
      <c r="L192" s="1305">
        <v>206</v>
      </c>
      <c r="M192" s="1115">
        <v>18</v>
      </c>
      <c r="N192" s="1115">
        <v>32</v>
      </c>
      <c r="O192" s="1115">
        <v>6</v>
      </c>
      <c r="P192" s="1115">
        <v>53</v>
      </c>
      <c r="Q192" s="1115">
        <v>32</v>
      </c>
      <c r="R192" s="1115">
        <v>17</v>
      </c>
      <c r="S192" s="1120"/>
      <c r="T192" s="1120"/>
      <c r="U192" s="1120"/>
      <c r="V192" s="1120"/>
      <c r="W192" s="1120"/>
      <c r="X192" s="1120"/>
      <c r="Y192" s="1008">
        <f t="shared" si="173"/>
        <v>273344421</v>
      </c>
      <c r="Z192" s="944"/>
      <c r="AA192" s="1008"/>
      <c r="AB192" s="1008"/>
      <c r="AC192" s="1008"/>
      <c r="AD192" s="1008"/>
      <c r="AE192" s="1008"/>
      <c r="AF192" s="1008"/>
      <c r="AG192" s="1008"/>
      <c r="AH192" s="1008"/>
      <c r="AI192" s="1008"/>
      <c r="AJ192" s="1008"/>
      <c r="AK192" s="1008"/>
      <c r="AL192" s="1008"/>
      <c r="AM192" s="1008"/>
      <c r="AN192" s="1008"/>
      <c r="AO192" s="1008">
        <f>273344421</f>
        <v>273344421</v>
      </c>
      <c r="AP192" s="1008"/>
      <c r="AQ192" s="1008"/>
      <c r="AR192" s="1008"/>
      <c r="AS192" s="1008"/>
      <c r="AU192" s="1011">
        <f t="shared" si="180"/>
        <v>1</v>
      </c>
      <c r="AV192" s="1008">
        <f t="shared" si="174"/>
        <v>273344421</v>
      </c>
      <c r="AW192" s="1008"/>
      <c r="AX192" s="1008"/>
      <c r="AY192" s="1008"/>
      <c r="AZ192" s="1008"/>
      <c r="BA192" s="1008"/>
      <c r="BB192" s="1008"/>
      <c r="BC192" s="1008"/>
      <c r="BD192" s="1008"/>
      <c r="BE192" s="1008"/>
      <c r="BF192" s="1008"/>
      <c r="BG192" s="1008"/>
      <c r="BH192" s="1008"/>
      <c r="BI192" s="1008"/>
      <c r="BJ192" s="1008"/>
      <c r="BK192" s="1008"/>
      <c r="BL192" s="1008">
        <f>+'[8]FEBRERO 2015'!$X$334</f>
        <v>273344421</v>
      </c>
      <c r="BM192" s="1008"/>
      <c r="BN192" s="1008"/>
      <c r="BO192" s="1008"/>
      <c r="BP192" s="1008"/>
      <c r="BQ192" s="1011">
        <f t="shared" si="181"/>
        <v>0</v>
      </c>
      <c r="BR192" s="1008">
        <f t="shared" si="175"/>
        <v>0</v>
      </c>
      <c r="BS192" s="1008">
        <f t="shared" si="182"/>
        <v>0</v>
      </c>
      <c r="BT192" s="1008">
        <f t="shared" si="183"/>
        <v>0</v>
      </c>
      <c r="BU192" s="1008"/>
      <c r="BV192" s="1008">
        <f t="shared" si="162"/>
        <v>0</v>
      </c>
      <c r="BW192" s="1008">
        <f t="shared" si="162"/>
        <v>0</v>
      </c>
      <c r="BX192" s="1008">
        <f t="shared" si="184"/>
        <v>0</v>
      </c>
      <c r="BY192" s="1008">
        <f t="shared" si="184"/>
        <v>0</v>
      </c>
      <c r="BZ192" s="1008"/>
      <c r="CA192" s="1008">
        <f t="shared" si="185"/>
        <v>0</v>
      </c>
      <c r="CB192" s="1008">
        <f t="shared" si="185"/>
        <v>0</v>
      </c>
      <c r="CC192" s="1008">
        <f t="shared" si="185"/>
        <v>0</v>
      </c>
      <c r="CD192" s="1008">
        <f t="shared" si="185"/>
        <v>0</v>
      </c>
      <c r="CE192" s="1008">
        <f t="shared" si="185"/>
        <v>0</v>
      </c>
      <c r="CF192" s="1008">
        <f t="shared" si="185"/>
        <v>0</v>
      </c>
      <c r="CG192" s="1008">
        <f t="shared" si="185"/>
        <v>0</v>
      </c>
      <c r="CH192" s="1008">
        <f t="shared" si="185"/>
        <v>0</v>
      </c>
      <c r="CI192" s="1008">
        <f t="shared" si="185"/>
        <v>0</v>
      </c>
      <c r="CJ192" s="1008"/>
      <c r="CK192" s="1008"/>
      <c r="CL192" s="1008">
        <f t="shared" si="186"/>
        <v>0</v>
      </c>
      <c r="CM192" s="1011">
        <f t="shared" si="187"/>
        <v>0.71285063103592661</v>
      </c>
      <c r="CN192" s="1008">
        <f t="shared" si="176"/>
        <v>194853743</v>
      </c>
      <c r="CO192" s="1008"/>
      <c r="CP192" s="1008"/>
      <c r="CQ192" s="1008"/>
      <c r="CR192" s="1008"/>
      <c r="CS192" s="1008"/>
      <c r="CT192" s="1008"/>
      <c r="CU192" s="1008"/>
      <c r="CV192" s="1008"/>
      <c r="CW192" s="1008"/>
      <c r="CX192" s="1008"/>
      <c r="CY192" s="1008"/>
      <c r="CZ192" s="1008"/>
      <c r="DA192" s="1008"/>
      <c r="DB192" s="1008"/>
      <c r="DC192" s="1008"/>
      <c r="DD192" s="1008">
        <f>+'[18]OCTUBRE 2015'!$H$950</f>
        <v>194853743</v>
      </c>
      <c r="DE192" s="1008"/>
      <c r="DF192" s="1008"/>
      <c r="DG192" s="1008"/>
      <c r="DH192" s="1008"/>
      <c r="DI192" s="1011">
        <f t="shared" si="188"/>
        <v>0.28714936896407339</v>
      </c>
      <c r="DJ192" s="1008">
        <f t="shared" si="177"/>
        <v>78490678</v>
      </c>
      <c r="DK192" s="1008"/>
      <c r="DL192" s="1008"/>
      <c r="DM192" s="1008"/>
      <c r="DN192" s="1008">
        <f t="shared" si="163"/>
        <v>0</v>
      </c>
      <c r="DO192" s="1008">
        <f t="shared" si="163"/>
        <v>0</v>
      </c>
      <c r="DP192" s="1008">
        <f t="shared" si="163"/>
        <v>0</v>
      </c>
      <c r="DQ192" s="1008">
        <f t="shared" si="163"/>
        <v>0</v>
      </c>
      <c r="DR192" s="1008"/>
      <c r="DS192" s="1008">
        <f t="shared" si="189"/>
        <v>0</v>
      </c>
      <c r="DT192" s="1008">
        <f t="shared" si="189"/>
        <v>0</v>
      </c>
      <c r="DU192" s="1008"/>
      <c r="DV192" s="1008">
        <f t="shared" si="190"/>
        <v>0</v>
      </c>
      <c r="DW192" s="1008">
        <f t="shared" si="190"/>
        <v>0</v>
      </c>
      <c r="DX192" s="1008">
        <f t="shared" si="190"/>
        <v>0</v>
      </c>
      <c r="DY192" s="1008">
        <f t="shared" si="191"/>
        <v>0</v>
      </c>
      <c r="DZ192" s="1008">
        <f t="shared" si="191"/>
        <v>78490678</v>
      </c>
      <c r="EA192" s="1008">
        <f t="shared" si="191"/>
        <v>0</v>
      </c>
      <c r="EB192" s="1008">
        <f t="shared" si="191"/>
        <v>0</v>
      </c>
      <c r="EC192" s="1008">
        <f t="shared" si="191"/>
        <v>0</v>
      </c>
      <c r="ED192" s="1008">
        <f t="shared" si="191"/>
        <v>0</v>
      </c>
    </row>
    <row r="193" spans="1:140" ht="45" customHeight="1" x14ac:dyDescent="0.25">
      <c r="A193" s="1560"/>
      <c r="B193" s="1007"/>
      <c r="C193" s="1116" t="s">
        <v>4665</v>
      </c>
      <c r="D193" s="1019" t="s">
        <v>4546</v>
      </c>
      <c r="E193" s="1050">
        <v>310</v>
      </c>
      <c r="F193" s="1120" t="s">
        <v>4547</v>
      </c>
      <c r="G193" s="1401"/>
      <c r="H193" s="1061">
        <f t="shared" si="143"/>
        <v>11972498</v>
      </c>
      <c r="I193" s="1061">
        <f t="shared" si="144"/>
        <v>18027502</v>
      </c>
      <c r="J193" s="1270"/>
      <c r="K193" s="1305"/>
      <c r="L193" s="1305"/>
      <c r="M193" s="1115">
        <v>13</v>
      </c>
      <c r="N193" s="1115">
        <v>0</v>
      </c>
      <c r="O193" s="1115">
        <v>0</v>
      </c>
      <c r="P193" s="1115">
        <v>16</v>
      </c>
      <c r="Q193" s="1115">
        <v>0</v>
      </c>
      <c r="R193" s="1115">
        <v>0</v>
      </c>
      <c r="S193" s="1120"/>
      <c r="T193" s="1120"/>
      <c r="U193" s="1120"/>
      <c r="V193" s="1120"/>
      <c r="W193" s="1120"/>
      <c r="X193" s="1120"/>
      <c r="Y193" s="1008">
        <f t="shared" si="173"/>
        <v>30000000</v>
      </c>
      <c r="Z193" s="996"/>
      <c r="AA193" s="996"/>
      <c r="AB193" s="996"/>
      <c r="AC193" s="996"/>
      <c r="AD193" s="996"/>
      <c r="AE193" s="996"/>
      <c r="AF193" s="996"/>
      <c r="AG193" s="996"/>
      <c r="AH193" s="996"/>
      <c r="AI193" s="241"/>
      <c r="AJ193" s="241"/>
      <c r="AK193" s="241"/>
      <c r="AL193" s="241"/>
      <c r="AM193" s="241"/>
      <c r="AN193" s="996"/>
      <c r="AO193" s="996"/>
      <c r="AP193" s="996"/>
      <c r="AQ193" s="996"/>
      <c r="AR193" s="996"/>
      <c r="AS193" s="1008">
        <f>10000000+4000000+16000000</f>
        <v>30000000</v>
      </c>
      <c r="AU193" s="1011">
        <f t="shared" si="180"/>
        <v>0.66666666666666663</v>
      </c>
      <c r="AV193" s="1008">
        <f t="shared" si="174"/>
        <v>20000000</v>
      </c>
      <c r="AW193" s="1008"/>
      <c r="AX193" s="1008"/>
      <c r="AY193" s="1008"/>
      <c r="AZ193" s="1008"/>
      <c r="BA193" s="1008"/>
      <c r="BB193" s="1008"/>
      <c r="BC193" s="1008"/>
      <c r="BD193" s="1008"/>
      <c r="BE193" s="1008"/>
      <c r="BF193" s="1008"/>
      <c r="BG193" s="1008"/>
      <c r="BH193" s="1008"/>
      <c r="BI193" s="1008"/>
      <c r="BJ193" s="1008"/>
      <c r="BK193" s="1008"/>
      <c r="BL193" s="1008"/>
      <c r="BM193" s="1008"/>
      <c r="BN193" s="1008"/>
      <c r="BO193" s="1008"/>
      <c r="BP193" s="1008">
        <f>+'[15]JULIO 2015'!$G$716</f>
        <v>20000000</v>
      </c>
      <c r="BQ193" s="1011">
        <f t="shared" si="181"/>
        <v>0.33333333333333337</v>
      </c>
      <c r="BR193" s="1008">
        <f t="shared" si="175"/>
        <v>10000000</v>
      </c>
      <c r="BS193" s="1008">
        <f t="shared" si="182"/>
        <v>0</v>
      </c>
      <c r="BT193" s="1008">
        <f t="shared" si="183"/>
        <v>0</v>
      </c>
      <c r="BU193" s="1008"/>
      <c r="BV193" s="1008">
        <f t="shared" si="162"/>
        <v>0</v>
      </c>
      <c r="BW193" s="1008">
        <f t="shared" si="162"/>
        <v>0</v>
      </c>
      <c r="BX193" s="1008">
        <f t="shared" si="184"/>
        <v>0</v>
      </c>
      <c r="BY193" s="1008">
        <f t="shared" si="184"/>
        <v>0</v>
      </c>
      <c r="BZ193" s="1008"/>
      <c r="CA193" s="1008">
        <f t="shared" si="185"/>
        <v>0</v>
      </c>
      <c r="CB193" s="1008">
        <f t="shared" si="185"/>
        <v>0</v>
      </c>
      <c r="CC193" s="1008">
        <f t="shared" si="185"/>
        <v>0</v>
      </c>
      <c r="CD193" s="1008">
        <f t="shared" si="185"/>
        <v>0</v>
      </c>
      <c r="CE193" s="1008">
        <f t="shared" si="185"/>
        <v>0</v>
      </c>
      <c r="CF193" s="1008">
        <f t="shared" si="185"/>
        <v>0</v>
      </c>
      <c r="CG193" s="1008">
        <f t="shared" si="185"/>
        <v>0</v>
      </c>
      <c r="CH193" s="1008">
        <f t="shared" si="185"/>
        <v>0</v>
      </c>
      <c r="CI193" s="1008">
        <f t="shared" si="185"/>
        <v>0</v>
      </c>
      <c r="CJ193" s="1008"/>
      <c r="CK193" s="1008"/>
      <c r="CL193" s="1008">
        <f t="shared" ref="CL193:CL194" si="192">+AS193-BP193</f>
        <v>10000000</v>
      </c>
      <c r="CM193" s="1011">
        <f t="shared" si="187"/>
        <v>0.39908326666666666</v>
      </c>
      <c r="CN193" s="1008">
        <f t="shared" si="176"/>
        <v>11972498</v>
      </c>
      <c r="CO193" s="1008"/>
      <c r="CP193" s="1008"/>
      <c r="CQ193" s="1008"/>
      <c r="CR193" s="1008"/>
      <c r="CS193" s="1008"/>
      <c r="CT193" s="1008"/>
      <c r="CU193" s="1008"/>
      <c r="CV193" s="1008"/>
      <c r="CW193" s="1008"/>
      <c r="CX193" s="1008"/>
      <c r="CY193" s="1008"/>
      <c r="CZ193" s="1008"/>
      <c r="DA193" s="1008"/>
      <c r="DB193" s="1008"/>
      <c r="DC193" s="1008"/>
      <c r="DD193" s="1008"/>
      <c r="DE193" s="1008"/>
      <c r="DF193" s="1008"/>
      <c r="DG193" s="1008"/>
      <c r="DH193" s="1008">
        <f>+'[17]SEPTIEMBRE 2015'!$H$938</f>
        <v>11972498</v>
      </c>
      <c r="DI193" s="1011">
        <f t="shared" si="188"/>
        <v>0.6009167333333334</v>
      </c>
      <c r="DJ193" s="1008">
        <f t="shared" si="177"/>
        <v>18027502</v>
      </c>
      <c r="DK193" s="1008"/>
      <c r="DL193" s="1008"/>
      <c r="DM193" s="1008"/>
      <c r="DN193" s="1008">
        <f t="shared" si="163"/>
        <v>0</v>
      </c>
      <c r="DO193" s="1008">
        <f t="shared" si="163"/>
        <v>0</v>
      </c>
      <c r="DP193" s="1008">
        <f t="shared" si="163"/>
        <v>0</v>
      </c>
      <c r="DQ193" s="1008">
        <f t="shared" si="163"/>
        <v>0</v>
      </c>
      <c r="DR193" s="1008"/>
      <c r="DS193" s="1008">
        <f t="shared" si="189"/>
        <v>0</v>
      </c>
      <c r="DT193" s="1008">
        <f t="shared" si="189"/>
        <v>0</v>
      </c>
      <c r="DU193" s="1008"/>
      <c r="DV193" s="1008">
        <f t="shared" si="190"/>
        <v>0</v>
      </c>
      <c r="DW193" s="1008">
        <f t="shared" si="190"/>
        <v>0</v>
      </c>
      <c r="DX193" s="1008">
        <f t="shared" si="190"/>
        <v>0</v>
      </c>
      <c r="DY193" s="1008">
        <f t="shared" si="191"/>
        <v>0</v>
      </c>
      <c r="DZ193" s="1008">
        <f t="shared" si="191"/>
        <v>0</v>
      </c>
      <c r="EA193" s="1008">
        <f t="shared" si="191"/>
        <v>0</v>
      </c>
      <c r="EB193" s="1008">
        <f t="shared" si="191"/>
        <v>0</v>
      </c>
      <c r="EC193" s="1008">
        <f t="shared" si="191"/>
        <v>0</v>
      </c>
      <c r="ED193" s="1008">
        <f t="shared" si="191"/>
        <v>18027502</v>
      </c>
    </row>
    <row r="194" spans="1:140" s="203" customFormat="1" ht="24" customHeight="1" x14ac:dyDescent="0.25">
      <c r="A194" s="1560"/>
      <c r="B194" s="1007"/>
      <c r="C194" s="1081" t="s">
        <v>4680</v>
      </c>
      <c r="D194" s="1019" t="s">
        <v>4681</v>
      </c>
      <c r="E194" s="997">
        <v>111</v>
      </c>
      <c r="F194" s="1120" t="s">
        <v>4482</v>
      </c>
      <c r="G194" s="1120"/>
      <c r="H194" s="1061">
        <f t="shared" ref="H194" si="193">+CN194</f>
        <v>0</v>
      </c>
      <c r="I194" s="1061">
        <f t="shared" ref="I194" si="194">Y194-H194</f>
        <v>0</v>
      </c>
      <c r="J194" s="771"/>
      <c r="K194" s="1120"/>
      <c r="L194" s="1120"/>
      <c r="M194" s="1071"/>
      <c r="N194" s="1071"/>
      <c r="O194" s="1071"/>
      <c r="P194" s="1071"/>
      <c r="Q194" s="1071"/>
      <c r="R194" s="1071"/>
      <c r="S194" s="1120"/>
      <c r="T194" s="1120"/>
      <c r="U194" s="1120"/>
      <c r="V194" s="1120"/>
      <c r="W194" s="1120"/>
      <c r="X194" s="1120"/>
      <c r="Y194" s="1067">
        <f>SUM(AA194:AS194)</f>
        <v>0</v>
      </c>
      <c r="Z194" s="241"/>
      <c r="AA194" s="241"/>
      <c r="AB194" s="241"/>
      <c r="AC194" s="241">
        <f>417803755-417803755</f>
        <v>0</v>
      </c>
      <c r="AD194" s="241"/>
      <c r="AE194" s="241"/>
      <c r="AF194" s="241"/>
      <c r="AG194" s="241"/>
      <c r="AH194" s="241"/>
      <c r="AI194" s="241"/>
      <c r="AJ194" s="241"/>
      <c r="AK194" s="241"/>
      <c r="AL194" s="241"/>
      <c r="AM194" s="241"/>
      <c r="AN194" s="241"/>
      <c r="AO194" s="241"/>
      <c r="AP194" s="241"/>
      <c r="AQ194" s="241"/>
      <c r="AR194" s="241"/>
      <c r="AS194" s="1067"/>
      <c r="AU194" s="1082">
        <v>0</v>
      </c>
      <c r="AV194" s="1067">
        <f t="shared" ref="AV194" si="195">SUM(AW194:BP194)</f>
        <v>0</v>
      </c>
      <c r="AW194" s="1067"/>
      <c r="AX194" s="1067"/>
      <c r="AY194" s="1067"/>
      <c r="AZ194" s="1067"/>
      <c r="BA194" s="1067"/>
      <c r="BB194" s="1067"/>
      <c r="BC194" s="1067"/>
      <c r="BD194" s="1067"/>
      <c r="BE194" s="1067"/>
      <c r="BF194" s="1067"/>
      <c r="BG194" s="1067"/>
      <c r="BH194" s="1067"/>
      <c r="BI194" s="1067"/>
      <c r="BJ194" s="1067"/>
      <c r="BK194" s="1067"/>
      <c r="BL194" s="1067"/>
      <c r="BM194" s="1067"/>
      <c r="BN194" s="1067"/>
      <c r="BO194" s="1067"/>
      <c r="BP194" s="1067"/>
      <c r="BQ194" s="1082">
        <v>0</v>
      </c>
      <c r="BR194" s="1067">
        <f t="shared" si="175"/>
        <v>0</v>
      </c>
      <c r="BS194" s="1067">
        <f t="shared" si="182"/>
        <v>0</v>
      </c>
      <c r="BT194" s="1067">
        <f t="shared" si="183"/>
        <v>0</v>
      </c>
      <c r="BU194" s="1067"/>
      <c r="BV194" s="1067">
        <f t="shared" si="162"/>
        <v>0</v>
      </c>
      <c r="BW194" s="1067">
        <f t="shared" si="162"/>
        <v>0</v>
      </c>
      <c r="BX194" s="1067">
        <f t="shared" si="184"/>
        <v>0</v>
      </c>
      <c r="BY194" s="1067">
        <f t="shared" si="184"/>
        <v>0</v>
      </c>
      <c r="BZ194" s="1067"/>
      <c r="CA194" s="1067">
        <f t="shared" si="185"/>
        <v>0</v>
      </c>
      <c r="CB194" s="1067">
        <f t="shared" si="185"/>
        <v>0</v>
      </c>
      <c r="CC194" s="1067">
        <f t="shared" si="185"/>
        <v>0</v>
      </c>
      <c r="CD194" s="1067">
        <f t="shared" si="185"/>
        <v>0</v>
      </c>
      <c r="CE194" s="1067">
        <f t="shared" si="185"/>
        <v>0</v>
      </c>
      <c r="CF194" s="1067">
        <f t="shared" si="185"/>
        <v>0</v>
      </c>
      <c r="CG194" s="1067">
        <f t="shared" si="185"/>
        <v>0</v>
      </c>
      <c r="CH194" s="1067">
        <f t="shared" si="185"/>
        <v>0</v>
      </c>
      <c r="CI194" s="1067">
        <f t="shared" si="185"/>
        <v>0</v>
      </c>
      <c r="CJ194" s="1067"/>
      <c r="CK194" s="1067"/>
      <c r="CL194" s="1067">
        <f t="shared" si="192"/>
        <v>0</v>
      </c>
      <c r="CM194" s="1082">
        <v>0</v>
      </c>
      <c r="CN194" s="1067">
        <f t="shared" si="176"/>
        <v>0</v>
      </c>
      <c r="CO194" s="1067"/>
      <c r="CP194" s="1067"/>
      <c r="CQ194" s="1067"/>
      <c r="CR194" s="1067"/>
      <c r="CS194" s="1067"/>
      <c r="CT194" s="1067"/>
      <c r="CU194" s="1067"/>
      <c r="CV194" s="1067"/>
      <c r="CW194" s="1067"/>
      <c r="CX194" s="1067"/>
      <c r="CY194" s="1067"/>
      <c r="CZ194" s="1067"/>
      <c r="DA194" s="1067"/>
      <c r="DB194" s="1067"/>
      <c r="DC194" s="1067"/>
      <c r="DD194" s="1067"/>
      <c r="DE194" s="1067"/>
      <c r="DF194" s="1067"/>
      <c r="DG194" s="1067"/>
      <c r="DH194" s="1067"/>
      <c r="DI194" s="1082">
        <v>0</v>
      </c>
      <c r="DJ194" s="1067">
        <f t="shared" si="177"/>
        <v>0</v>
      </c>
      <c r="DK194" s="1067"/>
      <c r="DL194" s="1067"/>
      <c r="DM194" s="1067"/>
      <c r="DN194" s="1067">
        <f t="shared" si="163"/>
        <v>0</v>
      </c>
      <c r="DO194" s="1067">
        <f t="shared" si="163"/>
        <v>0</v>
      </c>
      <c r="DP194" s="1067">
        <f t="shared" si="163"/>
        <v>0</v>
      </c>
      <c r="DQ194" s="1067">
        <f t="shared" si="163"/>
        <v>0</v>
      </c>
      <c r="DR194" s="1067"/>
      <c r="DS194" s="1067">
        <f t="shared" si="189"/>
        <v>0</v>
      </c>
      <c r="DT194" s="1067">
        <f t="shared" si="189"/>
        <v>0</v>
      </c>
      <c r="DU194" s="1067"/>
      <c r="DV194" s="1067">
        <f t="shared" si="190"/>
        <v>0</v>
      </c>
      <c r="DW194" s="1067">
        <f t="shared" si="190"/>
        <v>0</v>
      </c>
      <c r="DX194" s="1067">
        <f t="shared" si="190"/>
        <v>0</v>
      </c>
      <c r="DY194" s="1067">
        <f t="shared" si="191"/>
        <v>0</v>
      </c>
      <c r="DZ194" s="1067">
        <f t="shared" si="191"/>
        <v>0</v>
      </c>
      <c r="EA194" s="1067">
        <f t="shared" si="191"/>
        <v>0</v>
      </c>
      <c r="EB194" s="1067">
        <f t="shared" si="191"/>
        <v>0</v>
      </c>
      <c r="EC194" s="1067">
        <f t="shared" si="191"/>
        <v>0</v>
      </c>
      <c r="ED194" s="1067">
        <f t="shared" si="191"/>
        <v>0</v>
      </c>
    </row>
    <row r="195" spans="1:140" s="948" customFormat="1" ht="25.5" customHeight="1" thickBot="1" x14ac:dyDescent="0.3">
      <c r="A195" s="1059"/>
      <c r="B195" s="1535" t="s">
        <v>4456</v>
      </c>
      <c r="C195" s="1536"/>
      <c r="D195" s="1537"/>
      <c r="E195" s="1003"/>
      <c r="F195" s="1004"/>
      <c r="G195" s="1064">
        <f>SUM(G130:G194)</f>
        <v>20835000000</v>
      </c>
      <c r="H195" s="1064">
        <f>SUM(H130:H194)</f>
        <v>5216574148</v>
      </c>
      <c r="I195" s="1064">
        <f>SUM(I130:I194)</f>
        <v>5915139592</v>
      </c>
      <c r="J195" s="1004"/>
      <c r="K195" s="1004"/>
      <c r="L195" s="1004"/>
      <c r="M195" s="1004"/>
      <c r="N195" s="1004"/>
      <c r="O195" s="1004"/>
      <c r="P195" s="1004"/>
      <c r="Q195" s="1004"/>
      <c r="R195" s="1004"/>
      <c r="S195" s="1004"/>
      <c r="T195" s="1004"/>
      <c r="U195" s="1004"/>
      <c r="V195" s="1004"/>
      <c r="W195" s="1004"/>
      <c r="X195" s="1004"/>
      <c r="Y195" s="1009">
        <f t="shared" ref="Y195:AS195" si="196">SUM(Y130:Y194)</f>
        <v>11131713740</v>
      </c>
      <c r="Z195" s="1009">
        <f t="shared" si="196"/>
        <v>0</v>
      </c>
      <c r="AA195" s="1009">
        <f t="shared" si="196"/>
        <v>0</v>
      </c>
      <c r="AB195" s="1009">
        <f t="shared" si="196"/>
        <v>0</v>
      </c>
      <c r="AC195" s="1009">
        <f t="shared" si="196"/>
        <v>9036421581</v>
      </c>
      <c r="AD195" s="1009">
        <f t="shared" si="196"/>
        <v>20011334</v>
      </c>
      <c r="AE195" s="1009">
        <f t="shared" si="196"/>
        <v>625000000</v>
      </c>
      <c r="AF195" s="1009">
        <f t="shared" si="196"/>
        <v>0</v>
      </c>
      <c r="AG195" s="1009">
        <f t="shared" si="196"/>
        <v>0</v>
      </c>
      <c r="AH195" s="1009">
        <f t="shared" si="196"/>
        <v>0</v>
      </c>
      <c r="AI195" s="1009">
        <f t="shared" si="196"/>
        <v>1940856</v>
      </c>
      <c r="AJ195" s="1009">
        <f t="shared" si="196"/>
        <v>3438802</v>
      </c>
      <c r="AK195" s="1009">
        <f t="shared" si="196"/>
        <v>318664514</v>
      </c>
      <c r="AL195" s="1009">
        <f t="shared" si="196"/>
        <v>0</v>
      </c>
      <c r="AM195" s="1009">
        <f t="shared" si="196"/>
        <v>0</v>
      </c>
      <c r="AN195" s="1009">
        <f t="shared" si="196"/>
        <v>214719551</v>
      </c>
      <c r="AO195" s="1009">
        <f t="shared" si="196"/>
        <v>347080402</v>
      </c>
      <c r="AP195" s="1009">
        <f t="shared" si="196"/>
        <v>0</v>
      </c>
      <c r="AQ195" s="1009">
        <f t="shared" si="196"/>
        <v>0</v>
      </c>
      <c r="AR195" s="1009">
        <f t="shared" si="196"/>
        <v>92524043</v>
      </c>
      <c r="AS195" s="1009">
        <f t="shared" si="196"/>
        <v>471912657</v>
      </c>
      <c r="AU195" s="1012">
        <f t="shared" si="180"/>
        <v>0.75423316311402022</v>
      </c>
      <c r="AV195" s="1009">
        <f>SUM(AV130:AV194)</f>
        <v>8395907665</v>
      </c>
      <c r="AW195" s="1009">
        <f>SUM(AW130:AW194)</f>
        <v>0</v>
      </c>
      <c r="AX195" s="1009">
        <f>SUM(AX130:AX194)</f>
        <v>0</v>
      </c>
      <c r="AY195" s="1009"/>
      <c r="AZ195" s="1009">
        <f t="shared" ref="AZ195:BP195" si="197">SUM(AZ130:AZ194)</f>
        <v>6802033338</v>
      </c>
      <c r="BA195" s="1009">
        <f t="shared" si="197"/>
        <v>17503290</v>
      </c>
      <c r="BB195" s="1009">
        <f t="shared" si="197"/>
        <v>559457154</v>
      </c>
      <c r="BC195" s="1009">
        <f t="shared" si="197"/>
        <v>0</v>
      </c>
      <c r="BD195" s="1009">
        <f t="shared" si="197"/>
        <v>0</v>
      </c>
      <c r="BE195" s="1009">
        <f t="shared" si="197"/>
        <v>0</v>
      </c>
      <c r="BF195" s="1009">
        <f t="shared" si="197"/>
        <v>0</v>
      </c>
      <c r="BG195" s="1009">
        <f t="shared" si="197"/>
        <v>0</v>
      </c>
      <c r="BH195" s="1009">
        <f t="shared" si="197"/>
        <v>166126063</v>
      </c>
      <c r="BI195" s="1009">
        <f t="shared" si="197"/>
        <v>0</v>
      </c>
      <c r="BJ195" s="1009">
        <f t="shared" si="197"/>
        <v>0</v>
      </c>
      <c r="BK195" s="1009">
        <f t="shared" si="197"/>
        <v>133011786</v>
      </c>
      <c r="BL195" s="1009">
        <f t="shared" si="197"/>
        <v>332064236</v>
      </c>
      <c r="BM195" s="1009">
        <f t="shared" si="197"/>
        <v>0</v>
      </c>
      <c r="BN195" s="1009">
        <f t="shared" si="197"/>
        <v>0</v>
      </c>
      <c r="BO195" s="1009">
        <f t="shared" si="197"/>
        <v>92524043</v>
      </c>
      <c r="BP195" s="1009">
        <f t="shared" si="197"/>
        <v>293187755</v>
      </c>
      <c r="BQ195" s="1012">
        <f t="shared" si="181"/>
        <v>0.24576683688597978</v>
      </c>
      <c r="BR195" s="1009">
        <f>SUM(BR130:BR194)</f>
        <v>2735806075</v>
      </c>
      <c r="BS195" s="1009">
        <f>SUM(BS130:BS194)</f>
        <v>0</v>
      </c>
      <c r="BT195" s="1009">
        <f>SUM(BT130:BT194)</f>
        <v>0</v>
      </c>
      <c r="BU195" s="1009"/>
      <c r="BV195" s="1009">
        <f t="shared" ref="BV195:CL195" si="198">SUM(BV130:BV194)</f>
        <v>2234388243</v>
      </c>
      <c r="BW195" s="1009">
        <f t="shared" si="198"/>
        <v>2508044</v>
      </c>
      <c r="BX195" s="1009">
        <f t="shared" si="198"/>
        <v>65542846</v>
      </c>
      <c r="BY195" s="1009">
        <f t="shared" si="198"/>
        <v>0</v>
      </c>
      <c r="BZ195" s="1009">
        <f t="shared" si="198"/>
        <v>0</v>
      </c>
      <c r="CA195" s="1009">
        <f t="shared" si="198"/>
        <v>0</v>
      </c>
      <c r="CB195" s="1009">
        <f t="shared" si="198"/>
        <v>1940856</v>
      </c>
      <c r="CC195" s="1009">
        <f t="shared" si="198"/>
        <v>3438802</v>
      </c>
      <c r="CD195" s="1009">
        <f t="shared" si="198"/>
        <v>152538451</v>
      </c>
      <c r="CE195" s="1009">
        <f t="shared" si="198"/>
        <v>0</v>
      </c>
      <c r="CF195" s="1009">
        <f t="shared" si="198"/>
        <v>0</v>
      </c>
      <c r="CG195" s="1009">
        <f t="shared" si="198"/>
        <v>81707765</v>
      </c>
      <c r="CH195" s="1009">
        <f t="shared" si="198"/>
        <v>15016166</v>
      </c>
      <c r="CI195" s="1009">
        <f t="shared" si="198"/>
        <v>0</v>
      </c>
      <c r="CJ195" s="1009">
        <f t="shared" si="198"/>
        <v>0</v>
      </c>
      <c r="CK195" s="1009">
        <f t="shared" si="198"/>
        <v>0</v>
      </c>
      <c r="CL195" s="1009">
        <f t="shared" si="198"/>
        <v>178724902</v>
      </c>
      <c r="CM195" s="1012">
        <f t="shared" si="187"/>
        <v>0.46862273589151782</v>
      </c>
      <c r="CN195" s="1009">
        <f>SUM(CN130:CN194)</f>
        <v>5216574148</v>
      </c>
      <c r="CO195" s="1009">
        <f>SUM(CO130:CO194)</f>
        <v>0</v>
      </c>
      <c r="CP195" s="1009">
        <f>SUM(CP130:CP194)</f>
        <v>0</v>
      </c>
      <c r="CQ195" s="1009"/>
      <c r="CR195" s="1009">
        <f t="shared" ref="CR195:DH195" si="199">SUM(CR130:CR194)</f>
        <v>4105993257</v>
      </c>
      <c r="CS195" s="1009">
        <f t="shared" si="199"/>
        <v>12550540</v>
      </c>
      <c r="CT195" s="1009">
        <f t="shared" si="199"/>
        <v>515313282</v>
      </c>
      <c r="CU195" s="1009">
        <f t="shared" si="199"/>
        <v>0</v>
      </c>
      <c r="CV195" s="1009">
        <f t="shared" si="199"/>
        <v>0</v>
      </c>
      <c r="CW195" s="1009">
        <f t="shared" si="199"/>
        <v>0</v>
      </c>
      <c r="CX195" s="1009">
        <f t="shared" si="199"/>
        <v>0</v>
      </c>
      <c r="CY195" s="1009">
        <f t="shared" si="199"/>
        <v>0</v>
      </c>
      <c r="CZ195" s="1009">
        <f t="shared" si="199"/>
        <v>50855038</v>
      </c>
      <c r="DA195" s="1009">
        <f t="shared" si="199"/>
        <v>0</v>
      </c>
      <c r="DB195" s="1009">
        <f t="shared" si="199"/>
        <v>0</v>
      </c>
      <c r="DC195" s="1009">
        <f t="shared" si="199"/>
        <v>107320865</v>
      </c>
      <c r="DD195" s="1009">
        <f t="shared" si="199"/>
        <v>231639575</v>
      </c>
      <c r="DE195" s="1009">
        <f t="shared" si="199"/>
        <v>0</v>
      </c>
      <c r="DF195" s="1009">
        <f t="shared" si="199"/>
        <v>0</v>
      </c>
      <c r="DG195" s="1009">
        <f t="shared" si="199"/>
        <v>0</v>
      </c>
      <c r="DH195" s="1009">
        <f t="shared" si="199"/>
        <v>192901591</v>
      </c>
      <c r="DI195" s="1012">
        <f t="shared" si="188"/>
        <v>0.53137726410848218</v>
      </c>
      <c r="DJ195" s="1009">
        <f t="shared" ref="DJ195:ED195" si="200">SUM(DJ130:DJ194)</f>
        <v>5915139592</v>
      </c>
      <c r="DK195" s="1009">
        <f t="shared" si="200"/>
        <v>0</v>
      </c>
      <c r="DL195" s="1009">
        <f t="shared" si="200"/>
        <v>0</v>
      </c>
      <c r="DM195" s="1009">
        <f t="shared" si="200"/>
        <v>0</v>
      </c>
      <c r="DN195" s="1009">
        <f t="shared" si="200"/>
        <v>4930428324</v>
      </c>
      <c r="DO195" s="1009">
        <f t="shared" si="200"/>
        <v>7460794</v>
      </c>
      <c r="DP195" s="1009">
        <f t="shared" si="200"/>
        <v>109686718</v>
      </c>
      <c r="DQ195" s="1009">
        <f t="shared" si="200"/>
        <v>0</v>
      </c>
      <c r="DR195" s="1009">
        <f t="shared" si="200"/>
        <v>0</v>
      </c>
      <c r="DS195" s="1009">
        <f t="shared" si="200"/>
        <v>0</v>
      </c>
      <c r="DT195" s="1009">
        <f t="shared" si="200"/>
        <v>1940856</v>
      </c>
      <c r="DU195" s="1009">
        <f t="shared" si="200"/>
        <v>3438802</v>
      </c>
      <c r="DV195" s="1009">
        <f t="shared" si="200"/>
        <v>267809476</v>
      </c>
      <c r="DW195" s="1009">
        <f t="shared" si="200"/>
        <v>0</v>
      </c>
      <c r="DX195" s="1009">
        <f t="shared" si="200"/>
        <v>0</v>
      </c>
      <c r="DY195" s="1009">
        <f t="shared" si="200"/>
        <v>107398686</v>
      </c>
      <c r="DZ195" s="1009">
        <f t="shared" si="200"/>
        <v>115440827</v>
      </c>
      <c r="EA195" s="1009">
        <f t="shared" si="200"/>
        <v>0</v>
      </c>
      <c r="EB195" s="1009">
        <f t="shared" si="200"/>
        <v>0</v>
      </c>
      <c r="EC195" s="1009">
        <f t="shared" si="200"/>
        <v>92524043</v>
      </c>
      <c r="ED195" s="1009">
        <f t="shared" si="200"/>
        <v>279011066</v>
      </c>
    </row>
    <row r="196" spans="1:140" ht="12" customHeight="1" thickTop="1" x14ac:dyDescent="0.25">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92"/>
      <c r="Z196" s="992"/>
      <c r="AA196" s="992"/>
      <c r="AB196" s="992"/>
      <c r="AC196" s="993"/>
      <c r="AD196" s="992"/>
      <c r="AE196" s="686"/>
      <c r="AF196" s="686"/>
      <c r="AG196" s="686"/>
      <c r="AH196" s="686"/>
      <c r="AI196" s="686"/>
      <c r="AJ196" s="686"/>
      <c r="AK196" s="686"/>
      <c r="AL196" s="686"/>
      <c r="AM196" s="686"/>
      <c r="AN196" s="686"/>
      <c r="AO196" s="686"/>
      <c r="AP196" s="686"/>
      <c r="AQ196" s="686"/>
      <c r="AR196" s="686"/>
      <c r="AS196" s="686"/>
      <c r="AU196" s="1005"/>
      <c r="AV196" s="875"/>
      <c r="AW196" s="875"/>
      <c r="AX196" s="875"/>
      <c r="AY196" s="875"/>
      <c r="AZ196" s="875"/>
      <c r="BA196" s="875"/>
      <c r="BB196" s="875"/>
      <c r="BC196" s="875"/>
      <c r="BD196" s="875"/>
      <c r="BE196" s="875"/>
      <c r="BF196" s="875"/>
      <c r="BG196" s="875"/>
      <c r="BH196" s="875"/>
      <c r="BI196" s="875"/>
      <c r="BJ196" s="875"/>
      <c r="BK196" s="875"/>
      <c r="BL196" s="875"/>
      <c r="BM196" s="875"/>
      <c r="BN196" s="875"/>
      <c r="BO196" s="875"/>
      <c r="BP196" s="875"/>
      <c r="BQ196" s="1005"/>
      <c r="BR196" s="875"/>
      <c r="BS196" s="875"/>
      <c r="BT196" s="875"/>
      <c r="BU196" s="875"/>
      <c r="BV196" s="875"/>
      <c r="BW196" s="875"/>
      <c r="BX196" s="875"/>
      <c r="BY196" s="875"/>
      <c r="BZ196" s="875"/>
      <c r="CA196" s="875"/>
      <c r="CB196" s="875"/>
      <c r="CC196" s="875"/>
      <c r="CD196" s="875"/>
      <c r="CE196" s="875"/>
      <c r="CF196" s="875"/>
      <c r="CG196" s="875"/>
      <c r="CH196" s="875"/>
      <c r="CI196" s="875"/>
      <c r="CJ196" s="875"/>
      <c r="CK196" s="875"/>
      <c r="CL196" s="875"/>
      <c r="CM196" s="1005"/>
      <c r="CN196" s="1045"/>
      <c r="CO196" s="875"/>
      <c r="CP196" s="875"/>
      <c r="CQ196" s="875"/>
      <c r="CR196" s="875"/>
      <c r="CS196" s="875"/>
      <c r="CT196" s="875"/>
      <c r="CU196" s="875"/>
      <c r="CV196" s="875"/>
      <c r="CW196" s="875"/>
      <c r="CX196" s="875"/>
      <c r="CY196" s="875"/>
      <c r="CZ196" s="875"/>
      <c r="DA196" s="875"/>
      <c r="DB196" s="875"/>
      <c r="DC196" s="875"/>
      <c r="DD196" s="875"/>
      <c r="DE196" s="875"/>
      <c r="DF196" s="875"/>
      <c r="DG196" s="875"/>
      <c r="DH196" s="875"/>
      <c r="DI196" s="1005"/>
      <c r="DJ196" s="875"/>
      <c r="DK196" s="875"/>
      <c r="DL196" s="875"/>
      <c r="DM196" s="875"/>
      <c r="DN196" s="875"/>
      <c r="DO196" s="875"/>
      <c r="DP196" s="875"/>
      <c r="DQ196" s="875"/>
      <c r="DR196" s="875"/>
      <c r="DS196" s="875"/>
      <c r="DT196" s="875"/>
      <c r="DU196" s="875"/>
      <c r="DV196" s="875"/>
      <c r="DW196" s="875"/>
      <c r="DX196" s="875"/>
      <c r="DY196" s="875"/>
      <c r="DZ196" s="875"/>
      <c r="EA196" s="875"/>
      <c r="EB196" s="875"/>
      <c r="EC196" s="875"/>
      <c r="ED196" s="875"/>
    </row>
    <row r="197" spans="1:140" ht="19.5" customHeight="1" x14ac:dyDescent="0.25">
      <c r="C197" s="1233" t="s">
        <v>622</v>
      </c>
      <c r="D197" s="1248"/>
      <c r="E197" s="1266"/>
      <c r="F197" s="242"/>
      <c r="G197" s="875">
        <f>G34+G67+G104+G129+G195</f>
        <v>31953000000</v>
      </c>
      <c r="H197" s="1060">
        <f>H34+H67+H104+H129+H195</f>
        <v>14482181979</v>
      </c>
      <c r="I197" s="1060">
        <f>I34+I67+I104+I129+I195</f>
        <v>10606911324</v>
      </c>
      <c r="J197" s="242"/>
      <c r="K197" s="242"/>
      <c r="L197" s="242"/>
      <c r="M197" s="242"/>
      <c r="N197" s="242"/>
      <c r="O197" s="242"/>
      <c r="P197" s="242"/>
      <c r="Q197" s="242"/>
      <c r="R197" s="242"/>
      <c r="S197" s="242"/>
      <c r="T197" s="242"/>
      <c r="U197" s="242"/>
      <c r="V197" s="242"/>
      <c r="W197" s="242"/>
      <c r="X197" s="242"/>
      <c r="Y197" s="875">
        <f t="shared" ref="Y197:AS197" si="201">Y34+Y67+Y104+Y129+Y195</f>
        <v>25089093303</v>
      </c>
      <c r="Z197" s="875">
        <f t="shared" si="201"/>
        <v>104079469</v>
      </c>
      <c r="AA197" s="875">
        <f t="shared" si="201"/>
        <v>134533656</v>
      </c>
      <c r="AB197" s="875">
        <f t="shared" si="201"/>
        <v>396726534</v>
      </c>
      <c r="AC197" s="875">
        <f t="shared" si="201"/>
        <v>9862143612</v>
      </c>
      <c r="AD197" s="875">
        <f t="shared" si="201"/>
        <v>92895874</v>
      </c>
      <c r="AE197" s="875">
        <f t="shared" si="201"/>
        <v>2509180877</v>
      </c>
      <c r="AF197" s="875">
        <f t="shared" si="201"/>
        <v>1300000000</v>
      </c>
      <c r="AG197" s="875">
        <f t="shared" si="201"/>
        <v>102810569</v>
      </c>
      <c r="AH197" s="875">
        <f t="shared" si="201"/>
        <v>219471348</v>
      </c>
      <c r="AI197" s="875">
        <f t="shared" si="201"/>
        <v>1940856</v>
      </c>
      <c r="AJ197" s="875">
        <f t="shared" si="201"/>
        <v>3438802</v>
      </c>
      <c r="AK197" s="875">
        <f t="shared" si="201"/>
        <v>318664514</v>
      </c>
      <c r="AL197" s="875">
        <f t="shared" si="201"/>
        <v>4114878115</v>
      </c>
      <c r="AM197" s="875">
        <f t="shared" si="201"/>
        <v>1077016006</v>
      </c>
      <c r="AN197" s="875">
        <f t="shared" si="201"/>
        <v>1074256830</v>
      </c>
      <c r="AO197" s="875">
        <f t="shared" si="201"/>
        <v>999377331</v>
      </c>
      <c r="AP197" s="875">
        <f t="shared" si="201"/>
        <v>1181607989</v>
      </c>
      <c r="AQ197" s="875">
        <f t="shared" si="201"/>
        <v>80844085</v>
      </c>
      <c r="AR197" s="875">
        <f t="shared" si="201"/>
        <v>92524043</v>
      </c>
      <c r="AS197" s="875">
        <f t="shared" si="201"/>
        <v>1422702793</v>
      </c>
      <c r="AU197" s="238">
        <f>+AV197/Y197</f>
        <v>0.7948572974781607</v>
      </c>
      <c r="AV197" s="875">
        <f t="shared" ref="AV197:BP197" si="202">AV34+AV67+AV104+AV129+AV195</f>
        <v>19942248899</v>
      </c>
      <c r="AW197" s="875">
        <f t="shared" si="202"/>
        <v>103245422</v>
      </c>
      <c r="AX197" s="875">
        <f t="shared" si="202"/>
        <v>127311678</v>
      </c>
      <c r="AY197" s="875">
        <f t="shared" si="202"/>
        <v>364926534</v>
      </c>
      <c r="AZ197" s="875">
        <f t="shared" si="202"/>
        <v>7617755369</v>
      </c>
      <c r="BA197" s="875">
        <f t="shared" si="202"/>
        <v>17503290</v>
      </c>
      <c r="BB197" s="875">
        <f t="shared" si="202"/>
        <v>2155554199</v>
      </c>
      <c r="BC197" s="875">
        <f t="shared" si="202"/>
        <v>1164170675</v>
      </c>
      <c r="BD197" s="875">
        <f t="shared" si="202"/>
        <v>102810569</v>
      </c>
      <c r="BE197" s="875">
        <f t="shared" si="202"/>
        <v>219471348</v>
      </c>
      <c r="BF197" s="875">
        <f t="shared" si="202"/>
        <v>0</v>
      </c>
      <c r="BG197" s="875">
        <f t="shared" si="202"/>
        <v>0</v>
      </c>
      <c r="BH197" s="875">
        <f t="shared" si="202"/>
        <v>166126063</v>
      </c>
      <c r="BI197" s="875">
        <f t="shared" si="202"/>
        <v>2656492070</v>
      </c>
      <c r="BJ197" s="875">
        <f t="shared" si="202"/>
        <v>939954586</v>
      </c>
      <c r="BK197" s="875">
        <f t="shared" si="202"/>
        <v>821534672</v>
      </c>
      <c r="BL197" s="875">
        <f t="shared" si="202"/>
        <v>954787936</v>
      </c>
      <c r="BM197" s="875">
        <f t="shared" si="202"/>
        <v>1141064355</v>
      </c>
      <c r="BN197" s="875">
        <f t="shared" si="202"/>
        <v>80844085</v>
      </c>
      <c r="BO197" s="875">
        <f t="shared" si="202"/>
        <v>92524043</v>
      </c>
      <c r="BP197" s="875">
        <f t="shared" si="202"/>
        <v>1143287465</v>
      </c>
      <c r="BQ197" s="950">
        <f>1-AU197</f>
        <v>0.2051427025218393</v>
      </c>
      <c r="BR197" s="875">
        <f t="shared" ref="BR197:CL197" si="203">BR34+BR67+BR104+BR129+BR195</f>
        <v>5146844404</v>
      </c>
      <c r="BS197" s="875">
        <f t="shared" si="203"/>
        <v>834047</v>
      </c>
      <c r="BT197" s="875">
        <f t="shared" si="203"/>
        <v>7221978</v>
      </c>
      <c r="BU197" s="875">
        <f t="shared" si="203"/>
        <v>31800000</v>
      </c>
      <c r="BV197" s="875">
        <f t="shared" si="203"/>
        <v>2244388243</v>
      </c>
      <c r="BW197" s="875">
        <f t="shared" si="203"/>
        <v>2508044</v>
      </c>
      <c r="BX197" s="875">
        <f t="shared" si="203"/>
        <v>353626678</v>
      </c>
      <c r="BY197" s="875">
        <f t="shared" si="203"/>
        <v>135829325</v>
      </c>
      <c r="BZ197" s="875">
        <f t="shared" si="203"/>
        <v>0</v>
      </c>
      <c r="CA197" s="875">
        <f t="shared" si="203"/>
        <v>0</v>
      </c>
      <c r="CB197" s="875">
        <f t="shared" si="203"/>
        <v>1940856</v>
      </c>
      <c r="CC197" s="875">
        <f t="shared" si="203"/>
        <v>3438802</v>
      </c>
      <c r="CD197" s="875">
        <f t="shared" si="203"/>
        <v>152538451</v>
      </c>
      <c r="CE197" s="875">
        <f t="shared" si="203"/>
        <v>1458386045</v>
      </c>
      <c r="CF197" s="875">
        <f t="shared" si="203"/>
        <v>137061420</v>
      </c>
      <c r="CG197" s="875">
        <f t="shared" si="203"/>
        <v>252722158</v>
      </c>
      <c r="CH197" s="875">
        <f t="shared" si="203"/>
        <v>44589395</v>
      </c>
      <c r="CI197" s="875">
        <f t="shared" si="203"/>
        <v>40543634</v>
      </c>
      <c r="CJ197" s="875">
        <f t="shared" si="203"/>
        <v>0</v>
      </c>
      <c r="CK197" s="875">
        <f t="shared" si="203"/>
        <v>0</v>
      </c>
      <c r="CL197" s="875">
        <f t="shared" si="203"/>
        <v>279415328</v>
      </c>
      <c r="CM197" s="950">
        <f>+CN197/Y197</f>
        <v>0.57723018540762927</v>
      </c>
      <c r="CN197" s="875">
        <f t="shared" ref="CN197:ED197" si="204">CN34+CN67+CN104+CN129+CN195</f>
        <v>14482181979</v>
      </c>
      <c r="CO197" s="875">
        <f t="shared" si="204"/>
        <v>94013966</v>
      </c>
      <c r="CP197" s="875">
        <f t="shared" si="204"/>
        <v>127311678</v>
      </c>
      <c r="CQ197" s="875">
        <f t="shared" si="204"/>
        <v>364926534</v>
      </c>
      <c r="CR197" s="875">
        <f t="shared" si="204"/>
        <v>4707463138</v>
      </c>
      <c r="CS197" s="875">
        <f t="shared" si="204"/>
        <v>12550540</v>
      </c>
      <c r="CT197" s="875">
        <f t="shared" si="204"/>
        <v>1939216290</v>
      </c>
      <c r="CU197" s="875">
        <f t="shared" si="204"/>
        <v>1019225454</v>
      </c>
      <c r="CV197" s="875">
        <f t="shared" si="204"/>
        <v>102810569</v>
      </c>
      <c r="CW197" s="875">
        <f t="shared" si="204"/>
        <v>129471348</v>
      </c>
      <c r="CX197" s="875">
        <f t="shared" si="204"/>
        <v>0</v>
      </c>
      <c r="CY197" s="875">
        <f t="shared" si="204"/>
        <v>0</v>
      </c>
      <c r="CZ197" s="875">
        <f t="shared" si="204"/>
        <v>50855038</v>
      </c>
      <c r="DA197" s="875">
        <f t="shared" si="204"/>
        <v>1689569911</v>
      </c>
      <c r="DB197" s="875">
        <f t="shared" si="204"/>
        <v>833345661</v>
      </c>
      <c r="DC197" s="875">
        <f t="shared" si="204"/>
        <v>730796139</v>
      </c>
      <c r="DD197" s="875">
        <f t="shared" si="204"/>
        <v>659953051</v>
      </c>
      <c r="DE197" s="875">
        <f t="shared" si="204"/>
        <v>1082996639</v>
      </c>
      <c r="DF197" s="875">
        <f t="shared" si="204"/>
        <v>32548551</v>
      </c>
      <c r="DG197" s="875">
        <f t="shared" si="204"/>
        <v>0</v>
      </c>
      <c r="DH197" s="875">
        <f t="shared" si="204"/>
        <v>905127472</v>
      </c>
      <c r="DI197" s="875">
        <f t="shared" si="204"/>
        <v>1.7893462788510532</v>
      </c>
      <c r="DJ197" s="875">
        <f t="shared" si="204"/>
        <v>10606911324</v>
      </c>
      <c r="DK197" s="875">
        <f t="shared" si="204"/>
        <v>10065503</v>
      </c>
      <c r="DL197" s="875">
        <f t="shared" si="204"/>
        <v>7221978</v>
      </c>
      <c r="DM197" s="875">
        <f t="shared" si="204"/>
        <v>31800000</v>
      </c>
      <c r="DN197" s="875">
        <f t="shared" si="204"/>
        <v>5154680474</v>
      </c>
      <c r="DO197" s="875">
        <f t="shared" si="204"/>
        <v>80345334</v>
      </c>
      <c r="DP197" s="875">
        <f t="shared" si="204"/>
        <v>569964587</v>
      </c>
      <c r="DQ197" s="875">
        <f t="shared" si="204"/>
        <v>280774546</v>
      </c>
      <c r="DR197" s="875">
        <f t="shared" si="204"/>
        <v>0</v>
      </c>
      <c r="DS197" s="875">
        <f t="shared" si="204"/>
        <v>90000000</v>
      </c>
      <c r="DT197" s="875">
        <f t="shared" si="204"/>
        <v>1940856</v>
      </c>
      <c r="DU197" s="875">
        <f t="shared" si="204"/>
        <v>3438802</v>
      </c>
      <c r="DV197" s="875">
        <f t="shared" si="204"/>
        <v>267809476</v>
      </c>
      <c r="DW197" s="875">
        <f t="shared" si="204"/>
        <v>2425308204</v>
      </c>
      <c r="DX197" s="875">
        <f t="shared" si="204"/>
        <v>243670345</v>
      </c>
      <c r="DY197" s="875">
        <f t="shared" si="204"/>
        <v>343460691</v>
      </c>
      <c r="DZ197" s="875">
        <f t="shared" si="204"/>
        <v>339424280</v>
      </c>
      <c r="EA197" s="875">
        <f t="shared" si="204"/>
        <v>98611350</v>
      </c>
      <c r="EB197" s="875">
        <f t="shared" si="204"/>
        <v>48295534</v>
      </c>
      <c r="EC197" s="875">
        <f t="shared" si="204"/>
        <v>92524043</v>
      </c>
      <c r="ED197" s="875">
        <f t="shared" si="204"/>
        <v>517575321</v>
      </c>
      <c r="EF197" s="1621"/>
      <c r="EH197" s="998"/>
      <c r="EI197" s="1620"/>
      <c r="EJ197" s="1620"/>
    </row>
    <row r="198" spans="1:140" ht="15.75" customHeight="1" x14ac:dyDescent="0.25">
      <c r="C198" s="118"/>
      <c r="D198" s="118"/>
      <c r="E198" s="123"/>
      <c r="F198" s="123"/>
      <c r="G198" s="1092"/>
      <c r="H198" s="123"/>
      <c r="I198" s="123"/>
      <c r="J198" s="123"/>
      <c r="K198" s="123"/>
      <c r="L198" s="123"/>
      <c r="M198" s="123"/>
      <c r="N198" s="123"/>
      <c r="O198" s="123"/>
      <c r="P198" s="123"/>
      <c r="Q198" s="123"/>
      <c r="R198" s="123"/>
      <c r="S198" s="123"/>
      <c r="T198" s="123"/>
      <c r="U198" s="123"/>
      <c r="V198" s="123"/>
      <c r="W198" s="123"/>
      <c r="X198" s="123"/>
      <c r="Y198" s="961"/>
      <c r="Z198" s="961"/>
      <c r="AA198" s="961"/>
      <c r="AB198" s="961"/>
      <c r="AC198" s="979"/>
      <c r="AD198" s="961"/>
      <c r="AE198" s="122"/>
      <c r="AF198" s="122"/>
      <c r="AG198" s="122"/>
      <c r="AH198" s="122"/>
      <c r="AI198" s="122"/>
      <c r="AJ198" s="122"/>
      <c r="AK198" s="122"/>
      <c r="AL198" s="122"/>
      <c r="AM198" s="122"/>
      <c r="AN198" s="122"/>
      <c r="AO198" s="122"/>
      <c r="AP198" s="122"/>
      <c r="AQ198" s="122"/>
      <c r="AR198" s="122"/>
      <c r="AS198" s="122"/>
      <c r="AU198" s="239"/>
      <c r="AV198" s="148"/>
      <c r="AW198" s="148"/>
      <c r="AX198" s="148"/>
      <c r="AY198" s="148"/>
      <c r="AZ198" s="148"/>
      <c r="BA198" s="148"/>
      <c r="BB198" s="122"/>
      <c r="BC198" s="122"/>
      <c r="BD198" s="122"/>
      <c r="BE198" s="122"/>
      <c r="BF198" s="122"/>
      <c r="BG198" s="122"/>
      <c r="BH198" s="122"/>
      <c r="BI198" s="122"/>
      <c r="BJ198" s="122"/>
      <c r="BK198" s="122"/>
      <c r="BL198" s="122"/>
      <c r="BM198" s="122"/>
      <c r="BN198" s="122"/>
      <c r="BO198" s="122"/>
      <c r="BP198" s="122"/>
      <c r="BQ198" s="239"/>
      <c r="BR198" s="148"/>
      <c r="BS198" s="148"/>
      <c r="BT198" s="148"/>
      <c r="BU198" s="148"/>
      <c r="BV198" s="148"/>
      <c r="BW198" s="148"/>
      <c r="BX198" s="207"/>
      <c r="BY198" s="207"/>
      <c r="BZ198" s="207"/>
      <c r="CA198" s="207"/>
      <c r="CB198" s="207"/>
      <c r="CC198" s="207"/>
      <c r="CD198" s="207"/>
      <c r="CE198" s="207"/>
      <c r="CF198" s="207"/>
      <c r="CG198" s="207"/>
      <c r="CH198" s="207"/>
      <c r="CI198" s="207"/>
      <c r="CJ198" s="207"/>
      <c r="CK198" s="207"/>
      <c r="CL198" s="207"/>
      <c r="CM198" s="239"/>
      <c r="CN198" s="1046"/>
      <c r="CO198" s="169"/>
      <c r="CP198" s="169"/>
      <c r="CQ198" s="169"/>
      <c r="CR198" s="169"/>
      <c r="CS198" s="169"/>
      <c r="CT198" s="122"/>
      <c r="CU198" s="122"/>
      <c r="CV198" s="122"/>
      <c r="CW198" s="122"/>
      <c r="CX198" s="122"/>
      <c r="CY198" s="122"/>
      <c r="CZ198" s="122"/>
      <c r="DA198" s="122"/>
      <c r="DB198" s="122"/>
      <c r="DC198" s="122"/>
      <c r="DD198" s="122"/>
      <c r="DE198" s="122"/>
      <c r="DF198" s="122"/>
      <c r="DG198" s="122"/>
      <c r="DH198" s="122"/>
      <c r="DI198" s="1011"/>
      <c r="DJ198" s="1039"/>
      <c r="DK198" s="148"/>
      <c r="DL198" s="148"/>
      <c r="DM198" s="148"/>
      <c r="DN198" s="148"/>
      <c r="DO198" s="148"/>
      <c r="DP198" s="207"/>
      <c r="DQ198" s="207"/>
      <c r="DR198" s="207"/>
      <c r="DS198" s="207"/>
      <c r="DT198" s="207"/>
      <c r="DU198" s="207"/>
      <c r="DV198" s="207"/>
      <c r="DW198" s="207"/>
      <c r="DX198" s="207"/>
      <c r="DY198" s="207"/>
      <c r="DZ198" s="207"/>
      <c r="EA198" s="207"/>
      <c r="EB198" s="207"/>
      <c r="EC198" s="207"/>
      <c r="ED198" s="207"/>
      <c r="EF198" s="1621"/>
      <c r="EH198" s="998"/>
      <c r="EI198" s="1620"/>
      <c r="EJ198" s="1620"/>
    </row>
    <row r="199" spans="1:140" ht="16.5" customHeight="1" x14ac:dyDescent="0.25">
      <c r="C199" s="1048"/>
      <c r="D199" s="1121" t="s">
        <v>3753</v>
      </c>
      <c r="E199" s="239">
        <v>111</v>
      </c>
      <c r="F199" s="133"/>
      <c r="G199" s="875">
        <f>SUMIF($E$4:$E$194,"111",$G$4:$G$194)</f>
        <v>20073000000</v>
      </c>
      <c r="H199" s="1060">
        <f>SUMIF($E$4:$E$194,"111",$H$4:$H$194)</f>
        <v>2281390174</v>
      </c>
      <c r="I199" s="1060">
        <f>SUMIF($E$4:$E$194,"111",$I$4:$I$194)</f>
        <v>4376207355</v>
      </c>
      <c r="J199" s="133"/>
      <c r="K199" s="133"/>
      <c r="L199" s="133"/>
      <c r="M199" s="133"/>
      <c r="N199" s="133"/>
      <c r="O199" s="133"/>
      <c r="P199" s="133"/>
      <c r="Q199" s="133"/>
      <c r="R199" s="133"/>
      <c r="S199" s="133"/>
      <c r="T199" s="133"/>
      <c r="U199" s="133"/>
      <c r="V199" s="133"/>
      <c r="W199" s="133"/>
      <c r="X199" s="133"/>
      <c r="Y199" s="951">
        <f>SUMIF($E$4:$E$194,"111",$Y$4:$Y$194)</f>
        <v>6657597529</v>
      </c>
      <c r="Z199" s="951">
        <f>SUMIF($E$4:$E$194,"111",$Z$4:$Z$194)</f>
        <v>0</v>
      </c>
      <c r="AA199" s="216">
        <f>SUMIF($E$4:$E$195,"111",$AA$4:$AA$195)</f>
        <v>0</v>
      </c>
      <c r="AB199" s="216">
        <f>SUMIF($E$4:$E$195,"111",$AB$4:$AB$195)</f>
        <v>0</v>
      </c>
      <c r="AC199" s="216">
        <f>SUMIF($E$4:$E$195,"111",$AC$4:$AC$195)</f>
        <v>6143356148</v>
      </c>
      <c r="AD199" s="951">
        <f>SUMIF($E$4:$E$194,"111",$AD$4:$AD$194)</f>
        <v>20011334</v>
      </c>
      <c r="AE199" s="133">
        <f>SUMIF($E$4:$E$195,"111",$AE$4:$AE$195)</f>
        <v>5000000</v>
      </c>
      <c r="AF199" s="133">
        <f>SUMIF($E$4:$E$192,"111",$AF$4:$AF$192)</f>
        <v>0</v>
      </c>
      <c r="AG199" s="133">
        <f>SUMIF($E$4:$E$192,"111",$AG$4:$AG$192)</f>
        <v>0</v>
      </c>
      <c r="AH199" s="133">
        <f>SUMIF($E$4:$E$192,"111",$AH$4:$AH$192)</f>
        <v>0</v>
      </c>
      <c r="AI199" s="133">
        <f>SUMIF($E$4:$E$192,"111",$AI$4:$AI$192)</f>
        <v>1940856</v>
      </c>
      <c r="AJ199" s="133">
        <f>SUMIF($E$4:$E$192,"111",$AJ$4:$AJ$192)</f>
        <v>3438802</v>
      </c>
      <c r="AK199" s="133">
        <f>SUMIF($E$4:$E$192,"111",$AK$4:$AK$192)</f>
        <v>186380309</v>
      </c>
      <c r="AL199" s="133">
        <f>SUMIF($E$4:$E$192,"111",$AL$4:$AL$192)</f>
        <v>0</v>
      </c>
      <c r="AM199" s="133">
        <f>SUMIF($E$4:$E$192,"111",$AM$4:$AM$192)</f>
        <v>0</v>
      </c>
      <c r="AN199" s="133">
        <f>SUMIF($E$4:$E$192,"111",$AN$4:$AN$192)</f>
        <v>75649551</v>
      </c>
      <c r="AO199" s="133">
        <f>SUMIF($E$4:$E$192,"111",$AO$4:$AO$192)</f>
        <v>28705529</v>
      </c>
      <c r="AP199" s="133">
        <f>SUMIF($E$4:$E$192,"111",$AP$4:$AP$192)</f>
        <v>0</v>
      </c>
      <c r="AQ199" s="133">
        <f>SUMIF($E$4:$E$192,"111",$AQ$4:$AQ$192)</f>
        <v>0</v>
      </c>
      <c r="AR199" s="133">
        <f>SUMIF($E$4:$E$192,"111",$AR$4:$AR$192)</f>
        <v>0</v>
      </c>
      <c r="AS199" s="133">
        <f>SUMIF($E$4:$E$194,"111",$AS$4:$AS$194)</f>
        <v>193115000</v>
      </c>
      <c r="AU199" s="946">
        <f t="shared" ref="AU199:AU207" si="205">+AV199/Y199</f>
        <v>0.67672915753390839</v>
      </c>
      <c r="AV199" s="218">
        <f t="shared" ref="AV199:AV204" si="206">SUM(AW199:BP199)</f>
        <v>4505390367</v>
      </c>
      <c r="AW199" s="951">
        <f>SUMIF($E$4:$E$194,"111",$AW$4:$AW$194)</f>
        <v>0</v>
      </c>
      <c r="AX199" s="951">
        <f>SUMIF($E$4:$E$194,"111",$AX$4:$AX$194)</f>
        <v>0</v>
      </c>
      <c r="AY199" s="951">
        <f>SUMIF($E$4:$E$194,"111",$AY$4:$AY$194)</f>
        <v>0</v>
      </c>
      <c r="AZ199" s="951">
        <f>SUMIF($E$4:$E$194,"111",$AZ$4:$AZ$194)</f>
        <v>4277839358</v>
      </c>
      <c r="BA199" s="951">
        <f>SUMIF($E$4:$E$194,"111",$BA$4:$BA$194)</f>
        <v>17503290</v>
      </c>
      <c r="BB199" s="951">
        <f>SUMIF($E$4:$E$194,"111",$BB$4:$BB$194)</f>
        <v>0</v>
      </c>
      <c r="BC199" s="951">
        <f>SUMIF($E$4:$E$194,"111",$BC$4:$BC$194)</f>
        <v>0</v>
      </c>
      <c r="BD199" s="951">
        <f>SUMIF($E$4:$E$194,"111",$BD$4:$BD$194)</f>
        <v>0</v>
      </c>
      <c r="BE199" s="951">
        <f>SUMIF($E$4:$E$194,"111",$BE$4:$BE$194)</f>
        <v>0</v>
      </c>
      <c r="BF199" s="951">
        <f>SUMIF($E$4:$E$194,"111",$BF$4:$BF$194)</f>
        <v>0</v>
      </c>
      <c r="BG199" s="951">
        <f>SUMIF($E$4:$E$192,"111",$BG$4:$BG$192)</f>
        <v>0</v>
      </c>
      <c r="BH199" s="951">
        <f>SUMIF($E$4:$E$192,"111",$BH$4:$BH$192)</f>
        <v>115271025</v>
      </c>
      <c r="BI199" s="951">
        <f>SUMIF($E$4:$E$192,"111",$BI$4:$BI$192)</f>
        <v>0</v>
      </c>
      <c r="BJ199" s="951">
        <f>SUMIF($E$4:$E$192,"111",$BJ$4:$BJ$192)</f>
        <v>0</v>
      </c>
      <c r="BK199" s="951">
        <f>SUMIF($E$4:$E$194,"111",$BK$4:$BK$194)</f>
        <v>0</v>
      </c>
      <c r="BL199" s="951">
        <f>SUMIF($E$4:$E$192,"111",$BL$4:$BL$192)</f>
        <v>22661694</v>
      </c>
      <c r="BM199" s="951">
        <f>SUMIF($E$4:$E$194,"111",$AY$4:$AY$194)</f>
        <v>0</v>
      </c>
      <c r="BN199" s="951">
        <f>SUMIF($E$4:$E$192,"111",$BN$4:$BN$192)</f>
        <v>0</v>
      </c>
      <c r="BO199" s="951">
        <f>SUMIF($E$4:$E$192,"111",$BO$4:$BO$192)</f>
        <v>0</v>
      </c>
      <c r="BP199" s="951">
        <f>SUMIF($E$4:$E$194,"111",$BP$4:$BP$194)</f>
        <v>72115000</v>
      </c>
      <c r="BQ199" s="950">
        <f t="shared" ref="BQ199:BQ207" si="207">1-AU199</f>
        <v>0.32327084246609161</v>
      </c>
      <c r="BR199" s="149">
        <f t="shared" ref="BR199:BR204" si="208">SUM(BS199:CL199)</f>
        <v>2152207162</v>
      </c>
      <c r="BS199" s="951">
        <f>SUMIF($E$4:$E$194,"111",$AY$4:$AY$194)</f>
        <v>0</v>
      </c>
      <c r="BT199" s="953">
        <f>SUMIF($E$4:$E$192,"111",$BT$4:$BT$192)</f>
        <v>0</v>
      </c>
      <c r="BU199" s="953">
        <f>SUMIF($E$4:$E$192,"111",$BU$4:$BU$192)</f>
        <v>0</v>
      </c>
      <c r="BV199" s="953">
        <f>SUMIF($E$4:$E$194,"111",$BV$4:$BV$194)</f>
        <v>1865516790</v>
      </c>
      <c r="BW199" s="953">
        <f>SUMIF($E$4:$E$194,"111",$BW$4:$BW$194)</f>
        <v>2508044</v>
      </c>
      <c r="BX199" s="953">
        <f>SUMIF($E$4:$E$194,"111",$BX$4:$BX$194)</f>
        <v>5000000</v>
      </c>
      <c r="BY199" s="953">
        <f>SUMIF($E$4:$E$194,"111",$BY$4:$BY$194)</f>
        <v>0</v>
      </c>
      <c r="BZ199" s="953">
        <f>SUMIF($E$4:$E$192,"111",$BZ$4:$BZ$192)</f>
        <v>0</v>
      </c>
      <c r="CA199" s="953">
        <f>SUMIF($E$4:$E$195,"111",$CA$4:$CA$195)</f>
        <v>0</v>
      </c>
      <c r="CB199" s="953">
        <f>SUMIF($E$4:$E$192,"111",$CB$4:$CB$192)</f>
        <v>1940856</v>
      </c>
      <c r="CC199" s="953">
        <f>SUMIF($E$4:$E$192,"111",$CC$4:$CC$192)</f>
        <v>3438802</v>
      </c>
      <c r="CD199" s="953">
        <f>SUMIF($E$4:$E$192,"111",$CD$4:$CD$192)</f>
        <v>71109284</v>
      </c>
      <c r="CE199" s="953">
        <f>SUMIF($E$4:$E$192,"111",$CE$4:$CE$192)</f>
        <v>0</v>
      </c>
      <c r="CF199" s="953">
        <f>SUMIF($E$4:$E$192,"111",$CF$4:$CF$192)</f>
        <v>0</v>
      </c>
      <c r="CG199" s="953">
        <f>SUMIF($E$4:$E$192,"111",$CG$4:$CG$192)</f>
        <v>75649551</v>
      </c>
      <c r="CH199" s="953">
        <f>SUMIF($E$4:$E$192,"111",$CH$4:$CH$192)</f>
        <v>6043835</v>
      </c>
      <c r="CI199" s="953">
        <f>SUMIF($E$4:$E$192,"111",$CI$4:$CI$192)</f>
        <v>0</v>
      </c>
      <c r="CJ199" s="953">
        <f>SUMIF($E$4:$E$192,"111",$CJ$4:$CJ$192)</f>
        <v>0</v>
      </c>
      <c r="CK199" s="953">
        <f>SUMIF($E$4:$E$192,"111",$CK$4:$CK$192)</f>
        <v>0</v>
      </c>
      <c r="CL199" s="956">
        <f>SUMIF($E$4:$E$194,"111",$CL$4:$CL$194)</f>
        <v>121000000</v>
      </c>
      <c r="CM199" s="959">
        <f t="shared" ref="CM199:CM207" si="209">+CN199/Y199</f>
        <v>0.34267469069171486</v>
      </c>
      <c r="CN199" s="944">
        <f t="shared" ref="CN199:CN204" si="210">SUM(CO199:DH199)</f>
        <v>2281390174</v>
      </c>
      <c r="CO199" s="951">
        <f>SUMIF($E$4:$E$194,"111",$CO$4:$CO$194)</f>
        <v>0</v>
      </c>
      <c r="CP199" s="951">
        <f>SUMIF($E$4:$E$192,"111",$CP$4:$CP$192)</f>
        <v>0</v>
      </c>
      <c r="CQ199" s="951">
        <f>SUMIF($E$4:$E$192,"111",$CQ$4:$CQ$192)</f>
        <v>0</v>
      </c>
      <c r="CR199" s="951">
        <f>SUMIF($E$4:$E$192,"111",$CR$4:$CR$192)</f>
        <v>2190694555</v>
      </c>
      <c r="CS199" s="951">
        <f>SUMIF($E$4:$E$194,"111",$CS$4:$CS$194)</f>
        <v>12550540</v>
      </c>
      <c r="CT199" s="951">
        <f>SUMIF($E$4:$E$192,"111",$CT$4:$CT$192)</f>
        <v>0</v>
      </c>
      <c r="CU199" s="951">
        <f>SUMIF($E$4:$E$192,"111",$CU$4:$CU$192)</f>
        <v>0</v>
      </c>
      <c r="CV199" s="951">
        <f>SUMIF($E$4:$E$194,"111",$CV$4:$CV$194)</f>
        <v>0</v>
      </c>
      <c r="CW199" s="951">
        <f>SUMIF($E$4:$E$192,"111",$CW$4:$CW$192)</f>
        <v>0</v>
      </c>
      <c r="CX199" s="951">
        <f>SUMIF($E$4:$E$192,"111",$CX$4:$CX$192)</f>
        <v>0</v>
      </c>
      <c r="CY199" s="951">
        <f>SUMIF($E$4:$E$192,"111",$CY$4:$CY$192)</f>
        <v>0</v>
      </c>
      <c r="CZ199" s="951">
        <f>SUMIF($E$4:$E$192,"111",$CZ$4:$CZ$192)</f>
        <v>0</v>
      </c>
      <c r="DA199" s="951">
        <f>SUMIF($E$4:$E$192,"111",$DA$4:$DA$192)</f>
        <v>0</v>
      </c>
      <c r="DB199" s="951">
        <f>SUMIF($E$4:$E$192,"111",$DB$4:$DB$192)</f>
        <v>0</v>
      </c>
      <c r="DC199" s="951">
        <f>SUMIF($E$4:$E$192,"111",$DC$4:$DC$192)</f>
        <v>0</v>
      </c>
      <c r="DD199" s="951">
        <f>SUMIF($E$4:$E$192,"111",$DD$4:$DD$192)</f>
        <v>22661694</v>
      </c>
      <c r="DE199" s="951">
        <f>SUMIF($E$4:$E$192,"111",$DE$4:$DE$192)</f>
        <v>0</v>
      </c>
      <c r="DF199" s="951">
        <f>SUMIF($E$4:$E$192,"111",$DF$4:$DF$192)</f>
        <v>0</v>
      </c>
      <c r="DG199" s="951">
        <f>SUMIF($E$4:$E$192,"111",$DG$4:$DG$192)</f>
        <v>0</v>
      </c>
      <c r="DH199" s="952">
        <f>SUMIF($E$4:$E$192,"111",$DH$4:$DH$192)</f>
        <v>55483385</v>
      </c>
      <c r="DI199" s="1011">
        <f t="shared" ref="DI199:DI207" si="211">1-CM199</f>
        <v>0.65732530930828514</v>
      </c>
      <c r="DJ199" s="149">
        <f t="shared" ref="DJ199:DJ204" si="212">SUM(DK199:ED199)</f>
        <v>4376207355</v>
      </c>
      <c r="DK199" s="1040">
        <f>SUMIF($E$4:$E$194,"111",$DK$4:$DK$194)</f>
        <v>0</v>
      </c>
      <c r="DL199" s="953">
        <f>SUMIF($E$4:$E$194,"111",$DL$4:$DL$194)</f>
        <v>0</v>
      </c>
      <c r="DM199" s="953">
        <f>SUMIF($E$4:$E$194,"111",$DM$4:$DM$194)</f>
        <v>0</v>
      </c>
      <c r="DN199" s="953">
        <f>SUMIF($E$4:$E$194,"111",$DN$4:$DN$194)</f>
        <v>3952661593</v>
      </c>
      <c r="DO199" s="953">
        <f>SUMIF($E$4:$E$194,"111",$DO$4:$DO$194)</f>
        <v>7460794</v>
      </c>
      <c r="DP199" s="953">
        <f>SUMIF($E$4:$E$194,"111",$DP$4:$DP$194)</f>
        <v>5000000</v>
      </c>
      <c r="DQ199" s="953">
        <f>SUMIF($E$4:$E$194,"111",$DQ$4:$DQ$194)</f>
        <v>0</v>
      </c>
      <c r="DR199" s="953">
        <f>SUMIF($E$4:$E$194,"111",$DR$4:$DR$194)</f>
        <v>0</v>
      </c>
      <c r="DS199" s="208">
        <f>SUMIF($E$4:$E$192,"111",$DS$4:$DS$192)</f>
        <v>0</v>
      </c>
      <c r="DT199" s="208">
        <f>SUMIF($E$4:$E$192,"111",$DT$4:$DT$192)</f>
        <v>1940856</v>
      </c>
      <c r="DU199" s="208">
        <f>SUMIF($E$4:$E$194,"111",$DU$4:$DU$194)</f>
        <v>3438802</v>
      </c>
      <c r="DV199" s="208">
        <f>SUMIF($E$4:$E$192,"111",$DV$4:$DV$192)</f>
        <v>186380309</v>
      </c>
      <c r="DW199" s="208">
        <f>SUMIF($E$4:$E$192,"111",$DW$4:$DW$192)</f>
        <v>0</v>
      </c>
      <c r="DX199" s="208">
        <f>SUMIF($E$4:$E$194,"111",$DX$4:$DX$194)</f>
        <v>0</v>
      </c>
      <c r="DY199" s="208">
        <f>SUMIF($E$4:$E$194,"111",$DY$4:$DY$194)</f>
        <v>75649551</v>
      </c>
      <c r="DZ199" s="208">
        <f>SUMIF($E$4:$E$192,"111",$DZ$4:$DZ$192)</f>
        <v>6043835</v>
      </c>
      <c r="EA199" s="208">
        <f>SUMIF($E$4:$E$192,"111",$EA$4:$EA$192)</f>
        <v>0</v>
      </c>
      <c r="EB199" s="208">
        <f>SUMIF($E$4:$E$192,"111",$EB$4:$EB$192)</f>
        <v>0</v>
      </c>
      <c r="EC199" s="208">
        <f>SUMIF($E$4:$E$192,"111",$EC$4:$EC$192)</f>
        <v>0</v>
      </c>
      <c r="ED199" s="208">
        <f>SUMIF($E$4:$E$194,"111",$ED$4:$ED$194)</f>
        <v>137631615</v>
      </c>
      <c r="EF199" s="1621"/>
      <c r="EH199" s="998"/>
      <c r="EI199" s="1620"/>
      <c r="EJ199" s="1620"/>
    </row>
    <row r="200" spans="1:140" ht="18" customHeight="1" x14ac:dyDescent="0.25">
      <c r="C200" s="987"/>
      <c r="D200" s="1121" t="s">
        <v>4589</v>
      </c>
      <c r="E200" s="239">
        <v>211</v>
      </c>
      <c r="F200" s="133"/>
      <c r="G200" s="875">
        <f>SUMIF($E$4:$E$194,"211",$G$4:$G$194)</f>
        <v>0</v>
      </c>
      <c r="H200" s="1060">
        <f>SUMIF($E$4:$E$194,"211",$H$4:$H$194)</f>
        <v>2334992155</v>
      </c>
      <c r="I200" s="1060">
        <f>SUMIF($E$4:$E$194,"211",$I$4:$I$194)</f>
        <v>1306279635</v>
      </c>
      <c r="J200" s="133"/>
      <c r="K200" s="133"/>
      <c r="L200" s="133"/>
      <c r="M200" s="133"/>
      <c r="N200" s="133"/>
      <c r="O200" s="133"/>
      <c r="P200" s="133"/>
      <c r="Q200" s="133"/>
      <c r="R200" s="133"/>
      <c r="S200" s="133"/>
      <c r="T200" s="133"/>
      <c r="U200" s="133"/>
      <c r="V200" s="133"/>
      <c r="W200" s="133"/>
      <c r="X200" s="133"/>
      <c r="Y200" s="951">
        <f>SUMIF($E$4:$E$194,"211",$Y$4:$Y$194)</f>
        <v>3641271790</v>
      </c>
      <c r="Z200" s="951">
        <f>SUMIF($E$4:$E$194,"211",$Z$4:$Z$194)</f>
        <v>0</v>
      </c>
      <c r="AA200" s="216">
        <f>SUMIF($E$4:$E$195,"211",$AA$4:$AA$195)</f>
        <v>0</v>
      </c>
      <c r="AB200" s="216">
        <f>SUMIF($E$4:$E$195,"211",$AB$4:$AB$195)</f>
        <v>0</v>
      </c>
      <c r="AC200" s="216">
        <f>SUMIF($E$4:$E$195,"211",$AC$4:$AC$195)</f>
        <v>2893065433</v>
      </c>
      <c r="AD200" s="951">
        <f>SUMIF($E$4:$E$194,"211",$AD$4:$AD$194)</f>
        <v>0</v>
      </c>
      <c r="AE200" s="133">
        <f>SUMIF($E$4:$E$192,"211",$AE$4:$AE$192)</f>
        <v>210000000</v>
      </c>
      <c r="AF200" s="133">
        <f>SUMIF($E$4:$E$192,"211",$AF$4:$AF$192)</f>
        <v>0</v>
      </c>
      <c r="AG200" s="133">
        <f>SUMIF($E$4:$E$192,"211",$AG$4:$AG$192)</f>
        <v>0</v>
      </c>
      <c r="AH200" s="133">
        <f>SUMIF($E$4:$E$192,"211",$AH$4:$AH$192)</f>
        <v>0</v>
      </c>
      <c r="AI200" s="133">
        <f>SUMIF($E$4:$E$192,"211",$AI$4:$AI$192)</f>
        <v>0</v>
      </c>
      <c r="AJ200" s="133">
        <f>SUMIF($E$4:$E$192,"211",$AJ$4:$AJ$192)</f>
        <v>0</v>
      </c>
      <c r="AK200" s="133">
        <f>SUMIF($E$4:$E$192,"211",$AK$4:$AK$192)</f>
        <v>132284205</v>
      </c>
      <c r="AL200" s="133">
        <f>SUMIF($E$4:$E$192,"211",$AL$4:$AL$192)</f>
        <v>0</v>
      </c>
      <c r="AM200" s="133">
        <f>SUMIF($E$4:$E$192,"211",$AM$4:$AM$192)</f>
        <v>0</v>
      </c>
      <c r="AN200" s="133">
        <f>SUMIF($E$4:$E$192,"211",$AN$4:$AN$192)</f>
        <v>39070000</v>
      </c>
      <c r="AO200" s="133">
        <f>SUMIF($E$4:$E$192,"211",$AO$4:$AO$192)</f>
        <v>25530452</v>
      </c>
      <c r="AP200" s="133">
        <f>SUMIF($E$4:$E$192,"211",$AP$4:$AP$192)</f>
        <v>0</v>
      </c>
      <c r="AQ200" s="133">
        <f>SUMIF($E$4:$E$192,"211",$AQ$4:$AQ$192)</f>
        <v>0</v>
      </c>
      <c r="AR200" s="133">
        <f>SUMIF($E$4:$E$192,"211",$AR$4:$AR$192)</f>
        <v>92524043</v>
      </c>
      <c r="AS200" s="133">
        <f>SUMIF($E$4:$E$194,"211",$AS$4:$AS$194)</f>
        <v>248797657</v>
      </c>
      <c r="AU200" s="946">
        <f t="shared" si="205"/>
        <v>0.8612713996282052</v>
      </c>
      <c r="AV200" s="218">
        <f t="shared" si="206"/>
        <v>3136123251</v>
      </c>
      <c r="AW200" s="951">
        <f>SUMIF($E$4:$E$192,"211",$AW$4:$AW$192)</f>
        <v>0</v>
      </c>
      <c r="AX200" s="951">
        <f>SUMIF($E$4:$E$194,"211",$AX$4:$AX$194)</f>
        <v>0</v>
      </c>
      <c r="AY200" s="951">
        <f>SUMIF($E$4:$E$194,"211",$AY$4:$AY$194)</f>
        <v>0</v>
      </c>
      <c r="AZ200" s="951">
        <f>SUMIF($E$4:$E$194,"211",$AZ$4:$AZ$194)</f>
        <v>2524193980</v>
      </c>
      <c r="BA200" s="951">
        <f>SUMIF($E$4:$E$192,"211",$BA$4:$BA$192)</f>
        <v>0</v>
      </c>
      <c r="BB200" s="951">
        <f>SUMIF($E$4:$E$192,"211",$BB$4:$BB$192)</f>
        <v>208875197</v>
      </c>
      <c r="BC200" s="951">
        <f>SUMIF($E$4:$E$194,"211",$BC$4:$BC$194)</f>
        <v>0</v>
      </c>
      <c r="BD200" s="951">
        <f>SUMIF($E$4:$E$194,"211",$BD$4:$BD$194)</f>
        <v>0</v>
      </c>
      <c r="BE200" s="951">
        <f>SUMIF($E$4:$E$192,"211",$BE$4:$BE$192)</f>
        <v>0</v>
      </c>
      <c r="BF200" s="951">
        <f>SUMIF($E$4:$E$192,"211",$BF$4:$BF$192)</f>
        <v>0</v>
      </c>
      <c r="BG200" s="951">
        <f>SUMIF($E$4:$E$192,"211",$BG$4:$BG$192)</f>
        <v>0</v>
      </c>
      <c r="BH200" s="951">
        <f>SUMIF($E$4:$E$192,"211",$BH$4:$BH$192)</f>
        <v>50855038</v>
      </c>
      <c r="BI200" s="951">
        <f>SUMIF($E$4:$E$192,"211",$BI$4:$BI$192)</f>
        <v>0</v>
      </c>
      <c r="BJ200" s="951">
        <f>SUMIF($E$4:$E$192,"211",$BJ$4:$BJ$192)</f>
        <v>0</v>
      </c>
      <c r="BK200" s="951">
        <f>SUMIF($E$4:$E$194,"211",$BK$4:$BK$194)</f>
        <v>33071786</v>
      </c>
      <c r="BL200" s="951">
        <f>SUMIF($E$4:$E$192,"211",$BL$4:$BL$192)</f>
        <v>25530452</v>
      </c>
      <c r="BM200" s="951">
        <f>SUMIF($E$4:$E$192,"211",$BM$4:$BM$192)</f>
        <v>0</v>
      </c>
      <c r="BN200" s="951">
        <f>SUMIF($E$4:$E$192,"211",$BN$4:$BN$192)</f>
        <v>0</v>
      </c>
      <c r="BO200" s="951">
        <f>SUMIF($E$4:$E$192,"211",$BO$4:$BO$192)</f>
        <v>92524043</v>
      </c>
      <c r="BP200" s="951">
        <f>SUMIF($E$4:$E$194,"211",$BP$4:$BP$194)</f>
        <v>201072755</v>
      </c>
      <c r="BQ200" s="950">
        <f t="shared" si="207"/>
        <v>0.1387286003717948</v>
      </c>
      <c r="BR200" s="149">
        <f t="shared" si="208"/>
        <v>505148539</v>
      </c>
      <c r="BS200" s="953">
        <f>SUMIF($E$4:$E$192,"211",$BS$4:$BS$192)</f>
        <v>0</v>
      </c>
      <c r="BT200" s="953">
        <f>SUMIF($E$4:$E$192,"211",$BT$4:$BT$192)</f>
        <v>0</v>
      </c>
      <c r="BU200" s="953">
        <f>SUMIF($E$4:$E$192,"211",$BU$4:$BU$192)</f>
        <v>0</v>
      </c>
      <c r="BV200" s="953">
        <f>SUMIF($E$4:$E$194,"211",$BV$4:$BV$194)</f>
        <v>368871453</v>
      </c>
      <c r="BW200" s="953">
        <f>SUMIF($E$4:$E$194,"211",$BW$4:$BW$194)</f>
        <v>0</v>
      </c>
      <c r="BX200" s="953">
        <f>SUMIF($E$4:$E$194,"211",$BX$4:$BX$194)</f>
        <v>1124803</v>
      </c>
      <c r="BY200" s="953">
        <f>SUMIF($E$4:$E$194,"211",$BY$4:$BY$194)</f>
        <v>0</v>
      </c>
      <c r="BZ200" s="953">
        <f>SUMIF($E$4:$E$192,"211",$BZ$4:$BZ$192)</f>
        <v>0</v>
      </c>
      <c r="CA200" s="953">
        <f>SUMIF($E$4:$E$192,"211",$CA$4:$CA$192)</f>
        <v>0</v>
      </c>
      <c r="CB200" s="953">
        <f>SUMIF($E$4:$E$192,"211",$CB$4:$CB$192)</f>
        <v>0</v>
      </c>
      <c r="CC200" s="953">
        <f>SUMIF($E$4:$E$192,"211",$CC$4:$CC$192)</f>
        <v>0</v>
      </c>
      <c r="CD200" s="953">
        <f>SUMIF($E$4:$E$192,"211",$CD$4:$CD$192)</f>
        <v>81429167</v>
      </c>
      <c r="CE200" s="953">
        <f>SUMIF($E$4:$E$192,"211",$CE$4:$CE$192)</f>
        <v>0</v>
      </c>
      <c r="CF200" s="953">
        <f>SUMIF($E$4:$E$192,"211",$CF$4:$CF$192)</f>
        <v>0</v>
      </c>
      <c r="CG200" s="953">
        <f>SUMIF($E$4:$E$192,"211",$CG$4:$CG$192)</f>
        <v>5998214</v>
      </c>
      <c r="CH200" s="953">
        <f>SUMIF($E$4:$E$192,"211",$CH$4:$CH$192)</f>
        <v>0</v>
      </c>
      <c r="CI200" s="953">
        <f>SUMIF($E$4:$E$192,"211",$CI$4:$CI$192)</f>
        <v>0</v>
      </c>
      <c r="CJ200" s="953">
        <f>SUMIF($E$4:$E$192,"211",$CJ$4:$CJ$192)</f>
        <v>0</v>
      </c>
      <c r="CK200" s="953">
        <f>SUMIF($E$4:$E$192,"211",$CK$4:$CK$192)</f>
        <v>0</v>
      </c>
      <c r="CL200" s="956">
        <f>SUMIF($E$4:$E$194,"211",$CL$4:$CL$194)</f>
        <v>47724902</v>
      </c>
      <c r="CM200" s="959">
        <f t="shared" si="209"/>
        <v>0.64125731053984303</v>
      </c>
      <c r="CN200" s="944">
        <f t="shared" si="210"/>
        <v>2334992155</v>
      </c>
      <c r="CO200" s="951">
        <f>SUMIF($E$4:$E$194,"211",$CO$4:$CO$194)</f>
        <v>0</v>
      </c>
      <c r="CP200" s="951">
        <f>SUMIF($E$4:$E$192,"211",$CP$4:$CP$192)</f>
        <v>0</v>
      </c>
      <c r="CQ200" s="951">
        <f>SUMIF($E$4:$E$192,"211",$CQ$4:$CQ$192)</f>
        <v>0</v>
      </c>
      <c r="CR200" s="951">
        <f>SUMIF($E$4:$E$192,"211",$CR$4:$CR$192)</f>
        <v>1915298702</v>
      </c>
      <c r="CS200" s="951">
        <f>SUMIF($E$4:$E$194,"211",$CS$4:$CS$194)</f>
        <v>0</v>
      </c>
      <c r="CT200" s="951">
        <f>SUMIF($E$4:$E$192,"211",$CT$4:$CT$192)</f>
        <v>208736238</v>
      </c>
      <c r="CU200" s="951">
        <f>SUMIF($E$4:$E$192,"211",$CU$4:$CU$192)</f>
        <v>0</v>
      </c>
      <c r="CV200" s="951">
        <f>SUMIF($E$4:$E$194,"211",$CV$4:$CV$194)</f>
        <v>0</v>
      </c>
      <c r="CW200" s="951">
        <f>SUMIF($E$4:$E$192,"211",$CW$4:$CW$192)</f>
        <v>0</v>
      </c>
      <c r="CX200" s="951">
        <f>SUMIF($E$4:$E$192,"211",$CX$4:$CX$192)</f>
        <v>0</v>
      </c>
      <c r="CY200" s="951">
        <f>SUMIF($E$4:$E$192,"211",$CY$4:$CY$192)</f>
        <v>0</v>
      </c>
      <c r="CZ200" s="951">
        <f>SUMIF($E$4:$E$192,"211",$CZ$4:$CZ$192)</f>
        <v>50855038</v>
      </c>
      <c r="DA200" s="951">
        <f>SUMIF($E$4:$E$192,"211",$DA$4:$DA$192)</f>
        <v>0</v>
      </c>
      <c r="DB200" s="951">
        <f>SUMIF($E$4:$E$192,"211",$DB$4:$DB$192)</f>
        <v>0</v>
      </c>
      <c r="DC200" s="951">
        <f>SUMIF($E$4:$E$192,"211",$DC$4:$DC$192)</f>
        <v>26680000</v>
      </c>
      <c r="DD200" s="951">
        <f>SUMIF($E$4:$E$192,"211",$DD$4:$DD$192)</f>
        <v>7976469</v>
      </c>
      <c r="DE200" s="951">
        <f>SUMIF($E$4:$E$192,"211",$DE$4:$DE$192)</f>
        <v>0</v>
      </c>
      <c r="DF200" s="951">
        <f>SUMIF($E$4:$E$192,"211",$DF$4:$DF$192)</f>
        <v>0</v>
      </c>
      <c r="DG200" s="951">
        <f>SUMIF($E$4:$E$192,"211",$DG$4:$DG$192)</f>
        <v>0</v>
      </c>
      <c r="DH200" s="952">
        <f>SUMIF($E$4:$E$192,"211",$DH$4:$DH$192)</f>
        <v>125445708</v>
      </c>
      <c r="DI200" s="1011">
        <f t="shared" si="211"/>
        <v>0.35874268946015697</v>
      </c>
      <c r="DJ200" s="149">
        <f t="shared" ca="1" si="212"/>
        <v>1306279635</v>
      </c>
      <c r="DK200" s="1040">
        <f>SUMIF($E$4:$E$194,"211",$DK$4:$DK$194)</f>
        <v>0</v>
      </c>
      <c r="DL200" s="953">
        <f ca="1">SUMIF($E$4:$E$195,"211",$DL$4:$DL$194)</f>
        <v>0</v>
      </c>
      <c r="DM200" s="953">
        <f>SUMIF($E$4:$E$194,"211",$DM$4:$DM$194)</f>
        <v>0</v>
      </c>
      <c r="DN200" s="953">
        <f>SUMIF($E$4:$E$194,"211",$DN$4:$DN$194)</f>
        <v>977766731</v>
      </c>
      <c r="DO200" s="953">
        <f>SUMIF($E$4:$E$194,"211",$DO$4:$DO$194)</f>
        <v>0</v>
      </c>
      <c r="DP200" s="953">
        <f>SUMIF($E$4:$E$194,"211",$DP$4:$DP$194)</f>
        <v>1263762</v>
      </c>
      <c r="DQ200" s="953">
        <f>SUMIF($E$4:$E$194,"211",$DQ$4:$DQ$194)</f>
        <v>0</v>
      </c>
      <c r="DR200" s="953">
        <f>SUMIF($E$4:$E$194,"211",$DR$4:$DR$194)</f>
        <v>0</v>
      </c>
      <c r="DS200" s="208">
        <f>SUMIF($E$4:$E$192,"211",$DS$4:$DS$192)</f>
        <v>0</v>
      </c>
      <c r="DT200" s="208">
        <f>SUMIF($E$4:$E$192,"211",$DT$4:$DT$192)</f>
        <v>0</v>
      </c>
      <c r="DU200" s="208">
        <f>SUMIF($E$4:$E$194,"211",$DU$4:$DU$194)</f>
        <v>0</v>
      </c>
      <c r="DV200" s="208">
        <f>SUMIF($E$4:$E$192,"211",$DV$4:$DV$192)</f>
        <v>81429167</v>
      </c>
      <c r="DW200" s="208">
        <f>SUMIF($E$4:$E$192,"211",$DW$4:$DW$192)</f>
        <v>0</v>
      </c>
      <c r="DX200" s="208">
        <f>SUMIF($E$4:$E$194,"211",$DX$4:$DX$194)</f>
        <v>0</v>
      </c>
      <c r="DY200" s="208">
        <f>SUMIF($E$4:$E$194,"211",$DY$4:$DY$194)</f>
        <v>12390000</v>
      </c>
      <c r="DZ200" s="208">
        <f>SUMIF($E$4:$E$192,"211",$DZ$4:$DZ$192)</f>
        <v>17553983</v>
      </c>
      <c r="EA200" s="208">
        <f>SUMIF($E$4:$E$192,"211",$EA$4:$EA$192)</f>
        <v>0</v>
      </c>
      <c r="EB200" s="208">
        <f>SUMIF($E$4:$E$192,"211",$EB$4:$EB$192)</f>
        <v>0</v>
      </c>
      <c r="EC200" s="208">
        <f>SUMIF($E$4:$E$192,"211",$EC$4:$EC$192)</f>
        <v>92524043</v>
      </c>
      <c r="ED200" s="208">
        <f>SUMIF($E$4:$E$194,"211",$ED$4:$ED$194)</f>
        <v>123351949</v>
      </c>
      <c r="EF200" s="1621"/>
      <c r="EH200" s="998"/>
      <c r="EI200" s="1620"/>
      <c r="EJ200" s="1620"/>
    </row>
    <row r="201" spans="1:140" ht="16.5" customHeight="1" x14ac:dyDescent="0.25">
      <c r="C201" s="987"/>
      <c r="D201" s="1121" t="s">
        <v>674</v>
      </c>
      <c r="E201" s="239">
        <v>310</v>
      </c>
      <c r="F201" s="133"/>
      <c r="G201" s="875">
        <f>SUMIF($E$4:$E$194,"310",$G$4:$G$194)</f>
        <v>1203000000</v>
      </c>
      <c r="H201" s="1060">
        <f>SUMIF($E$4:$E$194,"310",$H$4:$H$194)</f>
        <v>867111433</v>
      </c>
      <c r="I201" s="1060">
        <f>SUMIF($E$4:$E$194,"310",$I$4:$I$194)</f>
        <v>309141751</v>
      </c>
      <c r="J201" s="133"/>
      <c r="K201" s="133"/>
      <c r="L201" s="133"/>
      <c r="M201" s="133"/>
      <c r="N201" s="133"/>
      <c r="O201" s="133"/>
      <c r="P201" s="133"/>
      <c r="Q201" s="133"/>
      <c r="R201" s="133"/>
      <c r="S201" s="133"/>
      <c r="T201" s="133"/>
      <c r="U201" s="133"/>
      <c r="V201" s="133"/>
      <c r="W201" s="133"/>
      <c r="X201" s="133"/>
      <c r="Y201" s="951">
        <f>SUMIF($E$4:$E$194,"310",$Y$4:$Y$195)</f>
        <v>1176253184</v>
      </c>
      <c r="Z201" s="951">
        <f>SUMIF($E$4:$E$194,"310",$Z$4:$Z$194)</f>
        <v>0</v>
      </c>
      <c r="AA201" s="216">
        <f>SUMIF($E$4:$E$192,"310",$AA$4:$AA$192)</f>
        <v>0</v>
      </c>
      <c r="AB201" s="216">
        <f>SUMIF($E$4:$E$195,"310",$AB$4:$AB$195)</f>
        <v>0</v>
      </c>
      <c r="AC201" s="216">
        <f>SUMIF($E$4:$E$192,"310",$AC$4:$AC$192)</f>
        <v>0</v>
      </c>
      <c r="AD201" s="951">
        <f>SUMIF($E$4:$E$194,"310",$AD$4:$AD$194)</f>
        <v>0</v>
      </c>
      <c r="AE201" s="133">
        <f>SUMIF($E$4:$E$192,"310",$AE$4:$AE$192)</f>
        <v>420000000</v>
      </c>
      <c r="AF201" s="133">
        <f>SUMIF($E$4:$E$192,"310",$AF$4:$AF$192)</f>
        <v>321985144</v>
      </c>
      <c r="AG201" s="133">
        <f>SUMIF($E$4:$E$192,"310",$AG$4:$AG$192)</f>
        <v>0</v>
      </c>
      <c r="AH201" s="133">
        <f>SUMIF($E$4:$E$192,"310",$AH$4:$AH$192)</f>
        <v>0</v>
      </c>
      <c r="AI201" s="133">
        <f>SUMIF($E$4:$E$192,"310",$AI$4:$AI$192)</f>
        <v>0</v>
      </c>
      <c r="AJ201" s="133">
        <f>SUMIF($E$4:$E$192,"310",$AJ$4:$AJ$192)</f>
        <v>0</v>
      </c>
      <c r="AK201" s="133">
        <f>SUMIF($E$4:$E$192,"310",$AK$4:$AK$192)</f>
        <v>0</v>
      </c>
      <c r="AL201" s="133">
        <f>SUMIF($E$4:$E$192,"310",$AL$4:$AL$192)</f>
        <v>0</v>
      </c>
      <c r="AM201" s="133">
        <f>SUMIF($E$4:$E$192,"310",$AM$4:$AM$192)</f>
        <v>0</v>
      </c>
      <c r="AN201" s="133">
        <f>SUMIF($E$4:$E$192,"310",$AN$4:$AN$192)</f>
        <v>36000000</v>
      </c>
      <c r="AO201" s="133">
        <f>SUMIF($E$4:$E$192,"310",$AO$4:$AO$192)</f>
        <v>273344421</v>
      </c>
      <c r="AP201" s="133">
        <f>SUMIF($E$4:$E$163,"310",$AP$4:$AP$163)</f>
        <v>0</v>
      </c>
      <c r="AQ201" s="133">
        <f>SUMIF($E$4:$E$192,"310",$AQ$4:$AQ$192)</f>
        <v>0</v>
      </c>
      <c r="AR201" s="133">
        <f>SUMIF($E$4:$E$192,"310",$AR$4:$AR$192)</f>
        <v>0</v>
      </c>
      <c r="AS201" s="133">
        <f>SUMIF($E$4:$E$194,"310",$AS$4:$AS$194)</f>
        <v>124923619</v>
      </c>
      <c r="AU201" s="946">
        <f t="shared" si="205"/>
        <v>0.83862056861390821</v>
      </c>
      <c r="AV201" s="943">
        <f t="shared" si="206"/>
        <v>986430114</v>
      </c>
      <c r="AW201" s="951">
        <f>SUMIF($E$4:$E$192,"310",$AW$4:$AW$192)</f>
        <v>0</v>
      </c>
      <c r="AX201" s="951">
        <f>SUMIF($E$4:$E$194,"310",$AX$4:$AX$194)</f>
        <v>0</v>
      </c>
      <c r="AY201" s="951">
        <f>SUMIF($E$4:$E$194,"310",$AY$4:$AY$194)</f>
        <v>0</v>
      </c>
      <c r="AZ201" s="951">
        <f>SUMIF($E$4:$E$194,"310",$AZ$4:$AZ$194)</f>
        <v>0</v>
      </c>
      <c r="BA201" s="951">
        <f>SUMIF($E$4:$E$192,"310",$BA$4:$BA$192)</f>
        <v>0</v>
      </c>
      <c r="BB201" s="951">
        <f>SUMIF($E$4:$E$192,"310",$BB$4:$BB$192)</f>
        <v>339006302</v>
      </c>
      <c r="BC201" s="951">
        <f>SUMIF($E$4:$E$194,"310",$BC$4:$BC$194)</f>
        <v>264170675</v>
      </c>
      <c r="BD201" s="951">
        <f>SUMIF($E$4:$E$194,"310",$BD$4:$BD$194)</f>
        <v>0</v>
      </c>
      <c r="BE201" s="951">
        <f>SUMIF($E$4:$E$192,"310",$BE$4:$BE$192)</f>
        <v>0</v>
      </c>
      <c r="BF201" s="951">
        <f>SUMIF($E$4:$E$192,"310",$BF$4:$BF$192)</f>
        <v>0</v>
      </c>
      <c r="BG201" s="951">
        <f>SUMIF($E$4:$E$163,"310",$BG$4:$BG$163)</f>
        <v>0</v>
      </c>
      <c r="BH201" s="951">
        <f>SUMIF($E$4:$E$192,"310",$BH$4:$BH$192)</f>
        <v>0</v>
      </c>
      <c r="BI201" s="951">
        <f>SUMIF($E$4:$E$192,"310",$BI$4:$BI$192)</f>
        <v>0</v>
      </c>
      <c r="BJ201" s="951">
        <f>SUMIF($E$4:$E$192,"310",$BJ$4:$BJ$192)</f>
        <v>0</v>
      </c>
      <c r="BK201" s="951">
        <f>SUMIF($E$4:$E$194,"310",$BK$4:$BK$194)</f>
        <v>0</v>
      </c>
      <c r="BL201" s="951">
        <f>SUMIF($E$4:$E$192,"310",$BL$4:$BL$192)</f>
        <v>273344421</v>
      </c>
      <c r="BM201" s="951">
        <f>SUMIF($E$4:$E$192,"310",$BM$4:$BM$192)</f>
        <v>0</v>
      </c>
      <c r="BN201" s="951">
        <f>SUMIF($E$4:$E$192,"310",$BN$4:$BN$192)</f>
        <v>0</v>
      </c>
      <c r="BO201" s="951">
        <f>SUMIF($E$4:$E$192,"310",$BO$4:$BO$192)</f>
        <v>0</v>
      </c>
      <c r="BP201" s="951">
        <f>SUMIF($E$4:$E$194,"310",$BP$4:$BP$194)</f>
        <v>109908716</v>
      </c>
      <c r="BQ201" s="950">
        <f t="shared" si="207"/>
        <v>0.16137943138609179</v>
      </c>
      <c r="BR201" s="149">
        <f t="shared" si="208"/>
        <v>189823070</v>
      </c>
      <c r="BS201" s="953">
        <f>SUMIF($E$4:$E$192,"310",$BS$4:$BS$192)</f>
        <v>0</v>
      </c>
      <c r="BT201" s="953">
        <f>SUMIF($E$4:$E$192,"310",$BT$4:$BT$192)</f>
        <v>0</v>
      </c>
      <c r="BU201" s="953">
        <f>SUMIF($E$4:$E$192,"310",$BU$4:$BU$192)</f>
        <v>0</v>
      </c>
      <c r="BV201" s="953">
        <f>SUMIF($E$4:$E$194,"310",$BV$4:$BV$194)</f>
        <v>0</v>
      </c>
      <c r="BW201" s="953">
        <f>SUMIF($E$4:$E$194,"310",$BW$4:$BW$194)</f>
        <v>0</v>
      </c>
      <c r="BX201" s="953">
        <f>SUMIF($E$4:$E$194,"310",$BX$4:$BX$194)</f>
        <v>80993698</v>
      </c>
      <c r="BY201" s="953">
        <f>SUMIF($E$4:$E$194,"310",$BY$4:$BY$194)</f>
        <v>57814469</v>
      </c>
      <c r="BZ201" s="953">
        <f>SUMIF($E$4:$E$192,"310",$BZ$4:$BZ$192)</f>
        <v>0</v>
      </c>
      <c r="CA201" s="953">
        <f>SUMIF($E$4:$E$192,"310",$CA$4:$CA$192)</f>
        <v>0</v>
      </c>
      <c r="CB201" s="953">
        <f>SUMIF($E$4:$E$192,"310",$CB$4:$CB$192)</f>
        <v>0</v>
      </c>
      <c r="CC201" s="953">
        <f>SUMIF($E$4:$E$192,"310",$CC$4:$CC$192)</f>
        <v>0</v>
      </c>
      <c r="CD201" s="953">
        <f>SUMIF($E$4:$E$192,"310",$CD$4:$CD$192)</f>
        <v>0</v>
      </c>
      <c r="CE201" s="953">
        <f>SUMIF($E$4:$E$192,"310",$CE$4:$CE$192)</f>
        <v>0</v>
      </c>
      <c r="CF201" s="953">
        <f>SUMIF($E$4:$E$192,"310",$CF$4:$CF$192)</f>
        <v>0</v>
      </c>
      <c r="CG201" s="953">
        <f>SUMIF($E$4:$E$192,"310",$CG$4:$CG$192)</f>
        <v>36000000</v>
      </c>
      <c r="CH201" s="953">
        <f>SUMIF($E$4:$E$192,"310",$CH$4:$CH$192)</f>
        <v>0</v>
      </c>
      <c r="CI201" s="953">
        <f>SUMIF($E$4:$E$192,"310",$CI$4:$CI$192)</f>
        <v>0</v>
      </c>
      <c r="CJ201" s="953">
        <f>SUMIF($E$4:$E$192,"310",$CJ$4:$CJ$192)</f>
        <v>0</v>
      </c>
      <c r="CK201" s="953">
        <f>SUMIF($E$4:$E$192,"310",$CK$4:$CK$192)</f>
        <v>0</v>
      </c>
      <c r="CL201" s="956">
        <f>SUMIF($E$4:$E$194,"310",$CL$4:$CL$194)</f>
        <v>15014903</v>
      </c>
      <c r="CM201" s="959">
        <f t="shared" si="209"/>
        <v>0.73718094437056159</v>
      </c>
      <c r="CN201" s="944">
        <f t="shared" si="210"/>
        <v>867111433</v>
      </c>
      <c r="CO201" s="951">
        <f>SUMIF($E$4:$E$194,"310",$CO$4:$CO$194)</f>
        <v>0</v>
      </c>
      <c r="CP201" s="951">
        <f>SUMIF($E$4:$E$192,"310",$CP$4:$CP$192)</f>
        <v>0</v>
      </c>
      <c r="CQ201" s="951">
        <f>SUMIF($E$4:$E$192,"310",$CQ$4:$CQ$192)</f>
        <v>0</v>
      </c>
      <c r="CR201" s="951">
        <f>SUMIF($E$4:$E$192,"310",$CR$4:$CR$192)</f>
        <v>0</v>
      </c>
      <c r="CS201" s="951">
        <f>SUMIF($E$4:$E$194,"310",$CS$4:$CS$194)</f>
        <v>0</v>
      </c>
      <c r="CT201" s="951">
        <f>SUMIF($E$4:$E$194,"310",$CT$4:$CT$194)</f>
        <v>336684052</v>
      </c>
      <c r="CU201" s="951">
        <f>SUMIF($E$4:$E$194,"310",$CU$4:$CU$194)</f>
        <v>256875776</v>
      </c>
      <c r="CV201" s="951">
        <f>SUMIF($E$4:$E$194,"310",$CV$4:$CV$194)</f>
        <v>0</v>
      </c>
      <c r="CW201" s="951">
        <f>SUMIF($E$4:$E$192,"310",$CW$4:$CW$192)</f>
        <v>0</v>
      </c>
      <c r="CX201" s="951">
        <f>SUMIF($E$4:$E$192,"310",$CX$4:$CX$192)</f>
        <v>0</v>
      </c>
      <c r="CY201" s="951">
        <f>SUMIF($E$4:$E$192,"310",$CY$4:$CY$192)</f>
        <v>0</v>
      </c>
      <c r="CZ201" s="951">
        <f>SUMIF($E$4:$E$192,"310",$CZ$4:$CZ$192)</f>
        <v>0</v>
      </c>
      <c r="DA201" s="951">
        <f>SUMIF($E$4:$E$192,"310",$DA$4:$DA$192)</f>
        <v>0</v>
      </c>
      <c r="DB201" s="951">
        <f>SUMIF($E$4:$E$192,"310",$DB$4:$DB$192)</f>
        <v>0</v>
      </c>
      <c r="DC201" s="951">
        <f>SUMIF($E$4:$E$192,"310",$DC$4:$DC$192)</f>
        <v>0</v>
      </c>
      <c r="DD201" s="951">
        <f>SUMIF($E$4:$E$194,"310",$DD$4:$DD$194)</f>
        <v>194853743</v>
      </c>
      <c r="DE201" s="951">
        <f>SUMIF($E$4:$E$192,"310",$DE$4:$DE$192)</f>
        <v>0</v>
      </c>
      <c r="DF201" s="951">
        <f>SUMIF($E$4:$E$192,"310",$DF$4:$DF$192)</f>
        <v>0</v>
      </c>
      <c r="DG201" s="951">
        <f>SUMIF($E$4:$E$192,"310",$DG$4:$DG$192)</f>
        <v>0</v>
      </c>
      <c r="DH201" s="952">
        <f>SUMIF($E$4:$E$194,"310",$DH$4:$DH$194)</f>
        <v>78697862</v>
      </c>
      <c r="DI201" s="1011">
        <f t="shared" si="211"/>
        <v>0.26281905562943841</v>
      </c>
      <c r="DJ201" s="149">
        <f t="shared" si="212"/>
        <v>309141751</v>
      </c>
      <c r="DK201" s="1040">
        <f>SUMIF($E$4:$E$194,"310",$DK$4:$DK$194)</f>
        <v>0</v>
      </c>
      <c r="DL201" s="953">
        <f>SUMIF($E$4:$E$192,"310",$DL$4:$DL$192)</f>
        <v>0</v>
      </c>
      <c r="DM201" s="953">
        <f>SUMIF($E$4:$E$194,"310",$DM$4:$DM$194)</f>
        <v>0</v>
      </c>
      <c r="DN201" s="953">
        <f>SUMIF($E$4:$E$194,"310",$DN$4:$DN$194)</f>
        <v>0</v>
      </c>
      <c r="DO201" s="953">
        <f>SUMIF($E$4:$E$194,"310",$DO$4:$DO$194)</f>
        <v>0</v>
      </c>
      <c r="DP201" s="953">
        <f>SUMIF($E$4:$E$194,"310",$DP$4:$DP$194)</f>
        <v>83315948</v>
      </c>
      <c r="DQ201" s="953">
        <f>SUMIF($E$4:$E$194,"310",$DQ$4:$DQ$194)</f>
        <v>65109368</v>
      </c>
      <c r="DR201" s="953">
        <f>SUMIF($E$4:$E$194,"310",$DR$4:$DR$194)</f>
        <v>0</v>
      </c>
      <c r="DS201" s="208">
        <f>SUMIF($E$4:$E$192,"310",$DS$4:$DS$192)</f>
        <v>0</v>
      </c>
      <c r="DT201" s="208">
        <f>SUMIF($E$4:$E$192,"310",$DT$4:$DT$192)</f>
        <v>0</v>
      </c>
      <c r="DU201" s="208">
        <f>SUMIF($E$4:$E$194,"310",$DU$4:$DU$194)</f>
        <v>0</v>
      </c>
      <c r="DV201" s="208">
        <f>SUMIF($E$4:$E$192,"310",$DV$4:$DV$192)</f>
        <v>0</v>
      </c>
      <c r="DW201" s="208">
        <f>SUMIF($E$4:$E$192,"310",$DW$4:$DW$192)</f>
        <v>0</v>
      </c>
      <c r="DX201" s="208">
        <f>SUMIF($E$4:$E$194,"310",$DX$4:$DX$194)</f>
        <v>0</v>
      </c>
      <c r="DY201" s="208">
        <f>SUMIF($E$4:$E$194,"310",$DY$4:$DY$194)</f>
        <v>36000000</v>
      </c>
      <c r="DZ201" s="208">
        <f>SUMIF($E$4:$E$194,"310",$DZ$4:$DZ$194)</f>
        <v>78490678</v>
      </c>
      <c r="EA201" s="208">
        <f>SUMIF($E$4:$E$192,"310",$EA$4:$EA$192)</f>
        <v>0</v>
      </c>
      <c r="EB201" s="208">
        <f>SUMIF($E$4:$E$192,"310",$EB$4:$EB$192)</f>
        <v>0</v>
      </c>
      <c r="EC201" s="208">
        <f>SUMIF($E$4:$E$192,"310",$EC$4:$EC$192)</f>
        <v>0</v>
      </c>
      <c r="ED201" s="208">
        <f>SUMIF($E$4:$E$194,"310",$ED$4:$ED$194)</f>
        <v>46225757</v>
      </c>
      <c r="EF201" s="1621"/>
      <c r="EH201" s="998"/>
      <c r="EI201" s="1620"/>
      <c r="EJ201" s="1620"/>
    </row>
    <row r="202" spans="1:140" x14ac:dyDescent="0.25">
      <c r="C202" s="988"/>
      <c r="D202" s="1121" t="s">
        <v>443</v>
      </c>
      <c r="E202" s="239">
        <v>410</v>
      </c>
      <c r="F202" s="133"/>
      <c r="G202" s="875">
        <f>SUMIF($E$4:$E$194,"410",$G$4:$G$194)</f>
        <v>4593000000</v>
      </c>
      <c r="H202" s="1060">
        <f>SUMIF($E$4:$E$194,"410",$H$4:$H$194)</f>
        <v>3906305329</v>
      </c>
      <c r="I202" s="1060">
        <f>SUMIF($E$4:$E$194,"410",$I$4:$I$194)</f>
        <v>2629487400</v>
      </c>
      <c r="J202" s="133"/>
      <c r="K202" s="133"/>
      <c r="L202" s="133"/>
      <c r="M202" s="133"/>
      <c r="N202" s="133"/>
      <c r="O202" s="133"/>
      <c r="P202" s="133"/>
      <c r="Q202" s="133"/>
      <c r="R202" s="133"/>
      <c r="S202" s="133"/>
      <c r="T202" s="133"/>
      <c r="U202" s="133"/>
      <c r="V202" s="133"/>
      <c r="W202" s="133"/>
      <c r="X202" s="133"/>
      <c r="Y202" s="951">
        <f>SUMIF($E$4:$E$194,"410",$Y$4:$Y$194)</f>
        <v>6535792729</v>
      </c>
      <c r="Z202" s="951">
        <f>SUMIF($E$4:$E$194,"410",$Z$4:$Z$194)</f>
        <v>0</v>
      </c>
      <c r="AA202" s="216">
        <f>SUMIF($E$4:$E$192,"410",$AA$4:$AA$192)</f>
        <v>134533656</v>
      </c>
      <c r="AB202" s="216">
        <f>SUMIF($E$4:$E$195,"410",$AB$4:$AB$195)</f>
        <v>396726534</v>
      </c>
      <c r="AC202" s="216">
        <f>SUMIF($E$4:$E$195,"410",$AC$4:$AC$195)</f>
        <v>775722031</v>
      </c>
      <c r="AD202" s="951">
        <f>SUMIF($E$4:$E$194,"410",$AD$4:$AD$194)</f>
        <v>0</v>
      </c>
      <c r="AE202" s="133">
        <f>SUMIF($E$4:$E$192,"410",$AE$4:$AE$192)</f>
        <v>544180877</v>
      </c>
      <c r="AF202" s="133">
        <f>SUMIF($E$4:$E$192,"410",$AF$4:$AF$192)</f>
        <v>55000000</v>
      </c>
      <c r="AG202" s="133">
        <f>SUMIF($E$4:$E$192,"410",$AG$4:$AG$192)</f>
        <v>102810569</v>
      </c>
      <c r="AH202" s="133">
        <f>SUMIF($E$4:$E$192,"410",$AH$4:$AH$192)</f>
        <v>219471348</v>
      </c>
      <c r="AI202" s="133">
        <f>SUMIF($E$4:$E$192,"410",$AI$4:$AI$192)</f>
        <v>0</v>
      </c>
      <c r="AJ202" s="133">
        <f>SUMIF($E$4:$E$192,"410",$AJ$4:$AJ$192)</f>
        <v>0</v>
      </c>
      <c r="AK202" s="133">
        <f>SUMIF($E$4:$E$192,"410",$AK$4:$AK$192)</f>
        <v>0</v>
      </c>
      <c r="AL202" s="133">
        <f>SUMIF($E$4:$E$192,"410",$AL$4:$AL$192)</f>
        <v>3504013680</v>
      </c>
      <c r="AM202" s="133">
        <f>SUMIF($E$4:$E$192,"410",$AM$4:$AM$192)</f>
        <v>78609139</v>
      </c>
      <c r="AN202" s="133">
        <f>SUMIF($E$4:$E$192,"410",$AN$4:$AN$192)</f>
        <v>251718083</v>
      </c>
      <c r="AO202" s="133">
        <f>SUMIF($E$4:$E$163,"410",$AO$4:$AO$163)</f>
        <v>311973650</v>
      </c>
      <c r="AP202" s="133">
        <f>SUMIF($E$4:$E$163,"410",$AP$4:$AP$163)</f>
        <v>0</v>
      </c>
      <c r="AQ202" s="133">
        <f>SUMIF($E$4:$E$192,"410",$AQ$4:$AQ$192)</f>
        <v>80844085</v>
      </c>
      <c r="AR202" s="133">
        <f>SUMIF($E$4:$E$192,"410",$AR$4:$AR$192)</f>
        <v>0</v>
      </c>
      <c r="AS202" s="133">
        <f>SUMIF($E$4:$E$194,"410",$AS$4:$AS$194)</f>
        <v>80189077</v>
      </c>
      <c r="AU202" s="946">
        <f t="shared" si="205"/>
        <v>0.81595654989749911</v>
      </c>
      <c r="AV202" s="218">
        <f t="shared" si="206"/>
        <v>5332922886</v>
      </c>
      <c r="AW202" s="951">
        <f>SUMIF($E$4:$E$192,"410",$AW$4:$AW$192)</f>
        <v>0</v>
      </c>
      <c r="AX202" s="951">
        <f>SUMIF($E$4:$E$194,"410",$AX$4:$AX$194)</f>
        <v>127311678</v>
      </c>
      <c r="AY202" s="951">
        <f>SUMIF($E$4:$E$194,"410",$AY$4:$AY$194)</f>
        <v>364926534</v>
      </c>
      <c r="AZ202" s="951">
        <f>SUMIF($E$4:$E$194,"410",$AZ$4:$AZ$194)</f>
        <v>775722031</v>
      </c>
      <c r="BA202" s="951">
        <f>SUMIF($E$4:$E$192,"410",$BA$4:$BA$192)</f>
        <v>0</v>
      </c>
      <c r="BB202" s="951">
        <f>SUMIF($E$4:$E$192,"410",$BB$4:$BB$192)</f>
        <v>488016550</v>
      </c>
      <c r="BC202" s="951">
        <f>SUMIF($E$4:$E$194,"410",$BC$4:$BC$194)</f>
        <v>55000000</v>
      </c>
      <c r="BD202" s="951">
        <f>SUMIF($E$4:$E$194,"410",$BD$4:$BD$194)</f>
        <v>102810569</v>
      </c>
      <c r="BE202" s="951">
        <f>SUMIF($E$4:$E$192,"410",$BE$4:$BE$192)</f>
        <v>219471348</v>
      </c>
      <c r="BF202" s="951">
        <f>SUMIF($E$4:$E$192,"410",$BF$4:$BF$192)</f>
        <v>0</v>
      </c>
      <c r="BG202" s="951">
        <f>SUMIF($E$4:$E$163,"410",$BG$4:$BG$163)</f>
        <v>0</v>
      </c>
      <c r="BH202" s="951">
        <f>SUMIF($E$4:$E$192,"410",$BH$4:$BH$192)</f>
        <v>0</v>
      </c>
      <c r="BI202" s="951">
        <f>SUMIF($E$4:$E$192,"410",$BI$4:$BI$192)</f>
        <v>2411831294</v>
      </c>
      <c r="BJ202" s="951">
        <f>SUMIF($E$4:$E$192,"410",$BJ$4:$BJ$192)</f>
        <v>78609139</v>
      </c>
      <c r="BK202" s="951">
        <f>SUMIF($E$4:$E$194,"410",$BK$4:$BK$194)</f>
        <v>251718083</v>
      </c>
      <c r="BL202" s="951">
        <f>SUMIF($E$4:$E$192,"410",$BL$4:$BL$192)</f>
        <v>311973590</v>
      </c>
      <c r="BM202" s="951">
        <f>SUMIF($E$4:$E$192,"410",$BM$4:$BM$192)</f>
        <v>0</v>
      </c>
      <c r="BN202" s="951">
        <f>SUMIF($E$4:$E$192,"410",$BN$4:$BN$192)</f>
        <v>80844085</v>
      </c>
      <c r="BO202" s="951">
        <f>SUMIF($E$4:$E$192,"410",$BO$4:$BO$192)</f>
        <v>0</v>
      </c>
      <c r="BP202" s="951">
        <f>SUMIF($E$4:$E$194,"410",$BP$4:$BP$194)</f>
        <v>64687985</v>
      </c>
      <c r="BQ202" s="950">
        <f t="shared" si="207"/>
        <v>0.18404345010250089</v>
      </c>
      <c r="BR202" s="149">
        <f t="shared" si="208"/>
        <v>1202869843</v>
      </c>
      <c r="BS202" s="953">
        <f>SUMIF($E$4:$E$192,"410",$BS$4:$BS$192)</f>
        <v>0</v>
      </c>
      <c r="BT202" s="953">
        <f>SUMIF($E$4:$E$192,"410",$BT$4:$BT$192)</f>
        <v>7221978</v>
      </c>
      <c r="BU202" s="953">
        <f>SUMIF($E$4:$E$192,"410",$BU$4:$BU$192)</f>
        <v>31800000</v>
      </c>
      <c r="BV202" s="953">
        <f>SUMIF($E$4:$E$194,"410",$BV$4:$BV$194)</f>
        <v>0</v>
      </c>
      <c r="BW202" s="953">
        <f>SUMIF($E$4:$E$194,"410",$BW$4:$BW$194)</f>
        <v>0</v>
      </c>
      <c r="BX202" s="953">
        <f>SUMIF($E$4:$E$194,"410",$BX$4:$BX$194)</f>
        <v>56164327</v>
      </c>
      <c r="BY202" s="953">
        <f>SUMIF($E$4:$E$192,"410",$BY$4:$BY$192)</f>
        <v>0</v>
      </c>
      <c r="BZ202" s="953">
        <f>SUMIF($E$4:$E$192,"410",$BZ$4:$BZ$192)</f>
        <v>0</v>
      </c>
      <c r="CA202" s="953">
        <f>SUMIF($E$4:$E$192,"410",$CA$4:$CA$192)</f>
        <v>0</v>
      </c>
      <c r="CB202" s="953">
        <f>SUMIF($E$4:$E$192,"410",$CB$4:$CB$192)</f>
        <v>0</v>
      </c>
      <c r="CC202" s="953">
        <f>SUMIF($E$4:$E$192,"410",$CC$4:$CC$192)</f>
        <v>0</v>
      </c>
      <c r="CD202" s="953">
        <f>SUMIF($E$4:$E$192,"410",$CD$4:$CD$192)</f>
        <v>0</v>
      </c>
      <c r="CE202" s="953">
        <f>SUMIF($E$4:$E$192,"410",$CE$4:$CE$192)</f>
        <v>1092182386</v>
      </c>
      <c r="CF202" s="953">
        <f>SUMIF($E$4:$E$192,"410",$CF$4:$CF$192)</f>
        <v>0</v>
      </c>
      <c r="CG202" s="953">
        <f>SUMIF($E$4:$E$192,"410",$CG$4:$CG$192)</f>
        <v>0</v>
      </c>
      <c r="CH202" s="953">
        <f>SUMIF($E$4:$E$192,"410",$CH$4:$CH$192)</f>
        <v>60</v>
      </c>
      <c r="CI202" s="953">
        <f>SUMIF($E$4:$E$192,"510",$CI$4:$CI$192)</f>
        <v>0</v>
      </c>
      <c r="CJ202" s="953">
        <f>SUMIF($E$4:$E$192,"410",$CJ$4:$CJ$192)</f>
        <v>0</v>
      </c>
      <c r="CK202" s="953">
        <f>SUMIF($E$4:$E$192,"410",$CK$4:$CK$192)</f>
        <v>0</v>
      </c>
      <c r="CL202" s="956">
        <f>SUMIF($E$4:$E$194,"410",$CL$4:$CL$194)</f>
        <v>15501092</v>
      </c>
      <c r="CM202" s="959">
        <f t="shared" si="209"/>
        <v>0.59767888777551226</v>
      </c>
      <c r="CN202" s="149">
        <f t="shared" si="210"/>
        <v>3906305329</v>
      </c>
      <c r="CO202" s="951">
        <f>SUMIF($E$4:$E$194,"410",$CO$4:$CO$194)</f>
        <v>0</v>
      </c>
      <c r="CP202" s="951">
        <f>SUMIF($E$4:$E$192,"410",$CP$4:$CP$192)</f>
        <v>127311678</v>
      </c>
      <c r="CQ202" s="951">
        <f>SUMIF($E$4:$E$192,"410",$CQ$4:$CQ$192)</f>
        <v>364926534</v>
      </c>
      <c r="CR202" s="951">
        <f>SUMIF($E$4:$E$192,"410",$CR$4:$CR$192)</f>
        <v>561469881</v>
      </c>
      <c r="CS202" s="951">
        <f>SUMIF($E$4:$E$194,"410",$CS$4:$CS$194)</f>
        <v>0</v>
      </c>
      <c r="CT202" s="951">
        <f>SUMIF($E$4:$E$192,"410",$CT$4:$CT$192)</f>
        <v>461643323</v>
      </c>
      <c r="CU202" s="951">
        <f>SUMIF($E$4:$E$192,"410",$CU$4:$CU$192)</f>
        <v>55000000</v>
      </c>
      <c r="CV202" s="951">
        <f>SUMIF($E$4:$E$194,"410",$CV$4:$CV$194)</f>
        <v>102810569</v>
      </c>
      <c r="CW202" s="951">
        <f>SUMIF($E$4:$E$192,"410",$CW$4:$CW$192)</f>
        <v>129471348</v>
      </c>
      <c r="CX202" s="951">
        <f>SUMIF($E$4:$E$192,"410",$CX$4:$CX$192)</f>
        <v>0</v>
      </c>
      <c r="CY202" s="951">
        <f>SUMIF($E$4:$E$192,"410",$CY$4:$CY$192)</f>
        <v>0</v>
      </c>
      <c r="CZ202" s="951">
        <f>SUMIF($E$4:$E$192,"410",$CZ$4:$CZ$192)</f>
        <v>0</v>
      </c>
      <c r="DA202" s="951">
        <f>SUMIF($E$4:$E$192,"410",$DA$4:$DA$192)</f>
        <v>1537936337</v>
      </c>
      <c r="DB202" s="951">
        <f>SUMIF($E$4:$E$192,"410",$DB$4:$DB$192)</f>
        <v>74817818</v>
      </c>
      <c r="DC202" s="951">
        <f>SUMIF($E$4:$E$192,"410",$DC$4:$DC$192)</f>
        <v>226625653</v>
      </c>
      <c r="DD202" s="951">
        <f>SUMIF($E$4:$E$192,"410",$DD$4:$DD$192)</f>
        <v>189662203</v>
      </c>
      <c r="DE202" s="951">
        <f>SUMIF($E$4:$E$192,"410",$DE$4:$DE$192)</f>
        <v>0</v>
      </c>
      <c r="DF202" s="951">
        <f>SUMIF($E$4:$E$192,"410",$DF$4:$DF$192)</f>
        <v>32548551</v>
      </c>
      <c r="DG202" s="951">
        <f>SUMIF($E$4:$E$192,"410",$DG$4:$DG$192)</f>
        <v>0</v>
      </c>
      <c r="DH202" s="952">
        <f>SUMIF($E$4:$E$192,"410",$DH$4:$DH$192)</f>
        <v>42081434</v>
      </c>
      <c r="DI202" s="1011">
        <f t="shared" si="211"/>
        <v>0.40232111222448774</v>
      </c>
      <c r="DJ202" s="149">
        <f t="shared" si="212"/>
        <v>2629487400</v>
      </c>
      <c r="DK202" s="1040">
        <f>SUMIF($E$4:$E$194,"410",$DK$4:$DK$194)</f>
        <v>0</v>
      </c>
      <c r="DL202" s="953">
        <f>SUMIF($E$4:$E$192,"410",$DL$4:$DL$192)</f>
        <v>7221978</v>
      </c>
      <c r="DM202" s="953">
        <f>SUMIF($E$4:$E$194,"410",$DM$4:$DM$194)</f>
        <v>31800000</v>
      </c>
      <c r="DN202" s="953">
        <f>SUMIF($E$4:$E$194,"410",$DN$4:$DN$194)</f>
        <v>214252150</v>
      </c>
      <c r="DO202" s="953">
        <f>SUMIF($E$4:$E$194,"410",$DO$4:$DO$194)</f>
        <v>0</v>
      </c>
      <c r="DP202" s="953">
        <f>SUMIF($E$4:$E$194,"410",$DP$4:$DP$194)</f>
        <v>82537554</v>
      </c>
      <c r="DQ202" s="953">
        <f>SUMIF($E$4:$E$194,"410",$DQ$4:$DQ$194)</f>
        <v>0</v>
      </c>
      <c r="DR202" s="953">
        <f>SUMIF($E$4:$E$194,"410",$DR$4:$DR$194)</f>
        <v>0</v>
      </c>
      <c r="DS202" s="208">
        <f>SUMIF($E$4:$E$192,"410",$DS$4:$DS$192)</f>
        <v>90000000</v>
      </c>
      <c r="DT202" s="208">
        <f>SUMIF($E$4:$E$192,"410",$DT$4:$DT$192)</f>
        <v>0</v>
      </c>
      <c r="DU202" s="208">
        <f>SUMIF($E$4:$E$194,"410",$DU$4:$DU$194)</f>
        <v>0</v>
      </c>
      <c r="DV202" s="208">
        <f>SUMIF($E$4:$E$192,"410",$DV$4:$DV$192)</f>
        <v>0</v>
      </c>
      <c r="DW202" s="208">
        <f>SUMIF($E$4:$E$192,"410",$DW$4:$DW$192)</f>
        <v>1966077343</v>
      </c>
      <c r="DX202" s="208">
        <f>SUMIF($E$4:$E$194,"410",$DX$4:$DX$194)</f>
        <v>3791321</v>
      </c>
      <c r="DY202" s="208">
        <f>SUMIF($E$4:$E$194,"410",$DY$4:$DY$194)</f>
        <v>25092430</v>
      </c>
      <c r="DZ202" s="208">
        <f>SUMIF($E$4:$E$192,"410",$DZ$4:$DZ$192)</f>
        <v>122311447</v>
      </c>
      <c r="EA202" s="208">
        <f>SUMIF($E$4:$E$192,"410",$EA$4:$EA$192)</f>
        <v>0</v>
      </c>
      <c r="EB202" s="208">
        <f>SUMIF($E$4:$E$192,"410",$EB$4:$EB$192)</f>
        <v>48295534</v>
      </c>
      <c r="EC202" s="208">
        <f>SUMIF($E$4:$E$192,"410",$EC$4:$EC$192)</f>
        <v>0</v>
      </c>
      <c r="ED202" s="208">
        <f>SUMIF($E$4:$E$194,"410",$ED$4:$ED$194)</f>
        <v>38107643</v>
      </c>
      <c r="EF202" s="998"/>
      <c r="EH202" s="998"/>
      <c r="EI202" s="1620"/>
      <c r="EJ202" s="1620"/>
    </row>
    <row r="203" spans="1:140" ht="14.25" customHeight="1" x14ac:dyDescent="0.25">
      <c r="C203" s="988"/>
      <c r="D203" s="1121" t="s">
        <v>3755</v>
      </c>
      <c r="E203" s="239">
        <v>510</v>
      </c>
      <c r="F203" s="133"/>
      <c r="G203" s="875">
        <f>SUMIF($E$4:$E$194,"510",$G$4:$G$194)</f>
        <v>1300000000</v>
      </c>
      <c r="H203" s="1060">
        <f>SUMIF($E$4:$E$194,"510",$H$4:$H$194)</f>
        <v>855648137</v>
      </c>
      <c r="I203" s="1060">
        <f>SUMIF($E$4:$E$194,"510",$I$4:$I$194)</f>
        <v>678051863</v>
      </c>
      <c r="J203" s="133"/>
      <c r="K203" s="133"/>
      <c r="L203" s="133"/>
      <c r="M203" s="133"/>
      <c r="N203" s="133"/>
      <c r="O203" s="133"/>
      <c r="P203" s="133"/>
      <c r="Q203" s="133"/>
      <c r="R203" s="133"/>
      <c r="S203" s="133"/>
      <c r="T203" s="133"/>
      <c r="U203" s="133"/>
      <c r="V203" s="133"/>
      <c r="W203" s="133"/>
      <c r="X203" s="133"/>
      <c r="Y203" s="951">
        <f>SUMIF($E$4:$E$194,"510",$Y$4:$Y$194)</f>
        <v>1533700000</v>
      </c>
      <c r="Z203" s="951">
        <f>SUMIF($E$4:$E$194,"510",$Z$4:$Z$194)</f>
        <v>0</v>
      </c>
      <c r="AA203" s="216">
        <f>SUMIF($E$4:$E$192,"510",$AA$4:$AA$192)</f>
        <v>0</v>
      </c>
      <c r="AB203" s="216">
        <f>SUMIF($E$4:$E$195,"510",$AB$4:$AB$195)</f>
        <v>0</v>
      </c>
      <c r="AC203" s="216">
        <f>SUMIF($E$4:$E$195,"510",$AC$4:$AC$195)</f>
        <v>0</v>
      </c>
      <c r="AD203" s="951">
        <f>SUMIF($E$4:$E$194,"510",$AD$4:$AD$194)</f>
        <v>0</v>
      </c>
      <c r="AE203" s="133">
        <f>SUMIF($E$4:$E$192,"510",$AE$4:$AE$192)</f>
        <v>670000000</v>
      </c>
      <c r="AF203" s="133">
        <f>SUMIF($E$4:$E$192,"510",$AF$4:$AF$192)</f>
        <v>0</v>
      </c>
      <c r="AG203" s="133">
        <f>SUMIF($E$4:$E$192,"510",$AG$4:$AG$192)</f>
        <v>0</v>
      </c>
      <c r="AH203" s="133">
        <f>SUMIF($E$4:$E$192,"510",$AH$4:$AH$192)</f>
        <v>0</v>
      </c>
      <c r="AI203" s="133">
        <f>SUMIF($E$4:$E$192,"510",$AI$4:$AI$192)</f>
        <v>0</v>
      </c>
      <c r="AJ203" s="133">
        <f>SUMIF($E$4:$E$192,"510",$AJ$4:$AJ$192)</f>
        <v>0</v>
      </c>
      <c r="AK203" s="133">
        <f>SUMIF($E$4:$E$192,"510",$AK$4:$AK$192)</f>
        <v>0</v>
      </c>
      <c r="AL203" s="133">
        <f>SUMIF($E$4:$E$192,"510",$AL$4:$AL$192)</f>
        <v>0</v>
      </c>
      <c r="AM203" s="133">
        <f>SUMIF($E$4:$E$192,"510",$AM$4:$AM$192)</f>
        <v>270000000</v>
      </c>
      <c r="AN203" s="133">
        <f>SUMIF($E$4:$E$192,"510",$AN$4:$AN$192)</f>
        <v>250000000</v>
      </c>
      <c r="AO203" s="133">
        <f>SUMIF($E$4:$E$192,"510",$AO$4:$AO$192)</f>
        <v>239500000</v>
      </c>
      <c r="AP203" s="133">
        <f>SUMIF($E$4:$E$163,"510",$AP$4:$AP$163)</f>
        <v>0</v>
      </c>
      <c r="AQ203" s="133">
        <f>SUMIF($E$4:$E$192,"510",$AQ$4:$AQ$192)</f>
        <v>0</v>
      </c>
      <c r="AR203" s="133">
        <f>SUMIF($E$4:$E$192,"510",$AR$4:$AR$192)</f>
        <v>0</v>
      </c>
      <c r="AS203" s="133">
        <f>SUMIF($E$4:$E$194,"510",$AS$4:$AS$194)</f>
        <v>104200000</v>
      </c>
      <c r="AU203" s="946">
        <f t="shared" si="205"/>
        <v>0.70487440307752491</v>
      </c>
      <c r="AV203" s="218">
        <f t="shared" si="206"/>
        <v>1081065872</v>
      </c>
      <c r="AW203" s="951">
        <f>SUMIF($E$4:$E$192,"510",$AW$4:$AW$192)</f>
        <v>0</v>
      </c>
      <c r="AX203" s="951">
        <f>SUMIF($E$4:$E$194,"510",$AX$4:$AX$194)</f>
        <v>0</v>
      </c>
      <c r="AY203" s="951">
        <f>SUMIF($E$4:$E$194,"510",$AY$4:$AY$194)</f>
        <v>0</v>
      </c>
      <c r="AZ203" s="951">
        <f>SUMIF($E$4:$E$194,"510",$AZ$4:$AZ$194)</f>
        <v>0</v>
      </c>
      <c r="BA203" s="951">
        <f>SUMIF($E$4:$E$192,"510",$BA$4:$BA$192)</f>
        <v>0</v>
      </c>
      <c r="BB203" s="951">
        <f>SUMIF($E$4:$E$192,"510",$BB$4:$BB$192)</f>
        <v>482682873</v>
      </c>
      <c r="BC203" s="951">
        <f>SUMIF($E$4:$E$194,"510",$BC$4:$BC$194)</f>
        <v>0</v>
      </c>
      <c r="BD203" s="951">
        <f>SUMIF($E$4:$E$194,"510",$BD$4:$BD$194)</f>
        <v>0</v>
      </c>
      <c r="BE203" s="951">
        <f>SUMIF($E$4:$E$192,"510",$BE$4:$BE$192)</f>
        <v>0</v>
      </c>
      <c r="BF203" s="951">
        <f>SUMIF($E$4:$E$192,"510",$BF$4:$BF$192)</f>
        <v>0</v>
      </c>
      <c r="BG203" s="951">
        <f>SUMIF($E$4:$E$163,"510",$BG$4:$BG$163)</f>
        <v>0</v>
      </c>
      <c r="BH203" s="951">
        <f>SUMIF($E$4:$E$192,"510",$BH$4:$BH$192)</f>
        <v>0</v>
      </c>
      <c r="BI203" s="951">
        <f>SUMIF($E$4:$E$192,"510",$BI$4:$BI$192)</f>
        <v>0</v>
      </c>
      <c r="BJ203" s="951">
        <f>SUMIF($E$4:$E$192,"510",$BJ$4:$BJ$192)</f>
        <v>152146280</v>
      </c>
      <c r="BK203" s="951">
        <f>SUMIF($E$4:$E$194,"510",$BK$4:$BK$194)</f>
        <v>137412943</v>
      </c>
      <c r="BL203" s="951">
        <f>SUMIF($E$4:$E$192,"510",$BL$4:$BL$192)</f>
        <v>230527669</v>
      </c>
      <c r="BM203" s="951">
        <f>SUMIF($E$4:$E$192,"510",$BM$4:$BM$192)</f>
        <v>0</v>
      </c>
      <c r="BN203" s="951">
        <f>SUMIF($E$4:$E$192,"510",$BN$4:$BN$192)</f>
        <v>0</v>
      </c>
      <c r="BO203" s="951">
        <f>SUMIF($E$4:$E$192," 510",$BO$4:$BO$192)</f>
        <v>0</v>
      </c>
      <c r="BP203" s="951">
        <f>SUMIF($E$4:$E$194,"510",$BP$4:$BP$194)</f>
        <v>78296107</v>
      </c>
      <c r="BQ203" s="950">
        <f t="shared" si="207"/>
        <v>0.29512559692247509</v>
      </c>
      <c r="BR203" s="149">
        <f t="shared" si="208"/>
        <v>452634128</v>
      </c>
      <c r="BS203" s="953">
        <f>SUMIF($E$4:$E$192,"510",$BS$4:$BS$192)</f>
        <v>0</v>
      </c>
      <c r="BT203" s="953">
        <f>SUMIF($E$4:$E$192,"510",$BT$4:$BT$192)</f>
        <v>0</v>
      </c>
      <c r="BU203" s="953">
        <f>SUMIF($E$4:$E$192,"510",$BU$4:$BU$192)</f>
        <v>0</v>
      </c>
      <c r="BV203" s="953">
        <f>SUMIF($E$4:$E$194,"510",$BV$4:$BV$194)</f>
        <v>0</v>
      </c>
      <c r="BW203" s="953">
        <f>SUMIF($E$4:$E$194,"510",$BW$4:$BW$194)</f>
        <v>0</v>
      </c>
      <c r="BX203" s="953">
        <f>SUMIF($E$4:$E$194,"510",$BX$4:$BX$194)</f>
        <v>187317127</v>
      </c>
      <c r="BY203" s="953">
        <f>SUMIF($E$4:$E$192,"510",$BY$4:$BY$192)</f>
        <v>0</v>
      </c>
      <c r="BZ203" s="953">
        <f>SUMIF($E$4:$E$192,"510",$BZ$4:$BZ$192)</f>
        <v>0</v>
      </c>
      <c r="CA203" s="953">
        <f>SUMIF($E$4:$E$192,"510",$CA$4:$CA$192)</f>
        <v>0</v>
      </c>
      <c r="CB203" s="953">
        <f>SUMIF($E$4:$E$192,"510",$CB$4:$CB$192)</f>
        <v>0</v>
      </c>
      <c r="CC203" s="953">
        <f>SUMIF($E$4:$E$192,"510",$CC$4:$CC$192)</f>
        <v>0</v>
      </c>
      <c r="CD203" s="953">
        <f>SUMIF($E$4:$E$192,"510",$CD$4:$CD$192)</f>
        <v>0</v>
      </c>
      <c r="CE203" s="953">
        <f>SUMIF($E$4:$E$192,"510",$CE$4:$CE$192)</f>
        <v>0</v>
      </c>
      <c r="CF203" s="953">
        <f>SUMIF($E$4:$E$192,"510",$CF$4:$CF$192)</f>
        <v>117853720</v>
      </c>
      <c r="CG203" s="953">
        <f>SUMIF($E$4:$E$192,"510",$CG$4:$CG$192)</f>
        <v>112587057</v>
      </c>
      <c r="CH203" s="953">
        <f>SUMIF($E$4:$E$192,"510",$CH$4:$CH$192)</f>
        <v>8972331</v>
      </c>
      <c r="CI203" s="953">
        <f>SUMIF($E$4:$E$192,"520",$CI$4:$CI$192)</f>
        <v>0</v>
      </c>
      <c r="CJ203" s="953">
        <f>SUMIF($E$4:$E$192,"510",$CJ$4:$CJ$192)</f>
        <v>0</v>
      </c>
      <c r="CK203" s="953">
        <f>SUMIF($E$4:$E$192,"510",$CK$4:$CK$192)</f>
        <v>0</v>
      </c>
      <c r="CL203" s="956">
        <f>SUMIF($E$4:$E$194,"510",$CL$4:$CL$194)</f>
        <v>25903893</v>
      </c>
      <c r="CM203" s="959">
        <f t="shared" si="209"/>
        <v>0.55789798330833928</v>
      </c>
      <c r="CN203" s="149">
        <f t="shared" si="210"/>
        <v>855648137</v>
      </c>
      <c r="CO203" s="951">
        <f>SUMIF($E$4:$E$194,"510",$CO$4:$CO$194)</f>
        <v>0</v>
      </c>
      <c r="CP203" s="951">
        <f>SUMIF($E$4:$E$192,"510",$CP$4:$CP$192)</f>
        <v>0</v>
      </c>
      <c r="CQ203" s="951">
        <f>SUMIF($E$4:$E$192,"510",$CQ$4:$CQ$192)</f>
        <v>0</v>
      </c>
      <c r="CR203" s="951">
        <f>SUMIF($E$4:$E$192,"510",$CR$4:$CR$192)</f>
        <v>0</v>
      </c>
      <c r="CS203" s="951">
        <f>SUMIF($E$4:$E$194,"510",$CS$4:$CS$194)</f>
        <v>0</v>
      </c>
      <c r="CT203" s="951">
        <f>SUMIF($E$4:$E$192,"510",$CT$4:$CT$192)</f>
        <v>430571673</v>
      </c>
      <c r="CU203" s="951">
        <f>SUMIF($E$4:$E$192,"510",$CU$4:$CU$192)</f>
        <v>0</v>
      </c>
      <c r="CV203" s="951">
        <f>SUMIF($E$4:$E$194,"510",$CV$4:$CV$194)</f>
        <v>0</v>
      </c>
      <c r="CW203" s="951">
        <f>SUMIF($E$4:$E$192,"510",$CW$4:$CW$192)</f>
        <v>0</v>
      </c>
      <c r="CX203" s="951">
        <f>SUMIF($E$4:$E$192,"510",$CX$4:$CX$192)</f>
        <v>0</v>
      </c>
      <c r="CY203" s="951">
        <f>SUMIF($E$4:$E$192,"510",$CY$4:$CY$192)</f>
        <v>0</v>
      </c>
      <c r="CZ203" s="951">
        <f>SUMIF($E$4:$E$192,"510",$CZ$4:$CZ$192)</f>
        <v>0</v>
      </c>
      <c r="DA203" s="951">
        <f>SUMIF($E$4:$E$192,"510",$DA$4:$DA$192)</f>
        <v>0</v>
      </c>
      <c r="DB203" s="951">
        <f>SUMIF($E$4:$E$192,"510",$DB$4:$DB$192)</f>
        <v>88455538</v>
      </c>
      <c r="DC203" s="951">
        <f>SUMIF($E$4:$E$192,"510",$DC$4:$DC$192)</f>
        <v>90822814</v>
      </c>
      <c r="DD203" s="951">
        <f>SUMIF($E$4:$E$192,"510",$DD$4:$DD$192)</f>
        <v>188408444</v>
      </c>
      <c r="DE203" s="951">
        <f>SUMIF($E$4:$E$192,"510",$DE$4:$DE$192)</f>
        <v>0</v>
      </c>
      <c r="DF203" s="951">
        <f>SUMIF($E$4:$E$192,"510",$DF$4:$DF$192)</f>
        <v>0</v>
      </c>
      <c r="DG203" s="951">
        <f>SUMIF($E$4:$E$192,"510",$DG$4:$DG$192)</f>
        <v>0</v>
      </c>
      <c r="DH203" s="952">
        <f>SUMIF($E$4:$E$192,"510",$DH$4:$DH$192)</f>
        <v>57389668</v>
      </c>
      <c r="DI203" s="1011">
        <f t="shared" si="211"/>
        <v>0.44210201669166072</v>
      </c>
      <c r="DJ203" s="149">
        <f t="shared" si="212"/>
        <v>678051863</v>
      </c>
      <c r="DK203" s="1040">
        <f>SUMIF($E$4:$E$194,"510",$DK$4:$DK$194)</f>
        <v>0</v>
      </c>
      <c r="DL203" s="953">
        <f>SUMIF($E$4:$E$192,"510",$DL$4:$DL$192)</f>
        <v>0</v>
      </c>
      <c r="DM203" s="953">
        <f>SUMIF($E$4:$E$194,"510",$DM$4:$DM$194)</f>
        <v>0</v>
      </c>
      <c r="DN203" s="953">
        <f>SUMIF($E$4:$E$194,"510",$DN$4:$DN$194)</f>
        <v>0</v>
      </c>
      <c r="DO203" s="953">
        <f>SUMIF($E$4:$E$194,"510",$DO$4:$DO$194)</f>
        <v>0</v>
      </c>
      <c r="DP203" s="953">
        <f>SUMIF($E$4:$E$194,"510",$DP$4:$DP$194)</f>
        <v>239428327</v>
      </c>
      <c r="DQ203" s="953">
        <f>SUMIF($E$4:$E$194,"510",$DQ$4:$DQ$194)</f>
        <v>0</v>
      </c>
      <c r="DR203" s="953">
        <f>SUMIF($E$4:$E$194,"510",$DR$4:$DR$194)</f>
        <v>0</v>
      </c>
      <c r="DS203" s="208">
        <f>SUMIF($E$4:$E$192,"510",$DS$4:$DS$192)</f>
        <v>0</v>
      </c>
      <c r="DT203" s="208">
        <f>SUMIF($E$4:$E$192,"510",$DT$4:$DT$192)</f>
        <v>0</v>
      </c>
      <c r="DU203" s="208">
        <f>SUMIF($E$4:$E$194,"510",$DU$4:$DU$194)</f>
        <v>0</v>
      </c>
      <c r="DV203" s="208">
        <f>SUMIF($E$4:$E$192,"510",$DV$4:$DV$192)</f>
        <v>0</v>
      </c>
      <c r="DW203" s="208">
        <f>SUMIF($E$4:$E$192,"510",$DW$4:$DW$192)</f>
        <v>0</v>
      </c>
      <c r="DX203" s="208">
        <f>SUMIF($E$4:$E$194,"510",$DX$4:$DX$194)</f>
        <v>181544462</v>
      </c>
      <c r="DY203" s="208">
        <f>SUMIF($E$4:$E$194,"510",$DY$4:$DY$194)</f>
        <v>159177186</v>
      </c>
      <c r="DZ203" s="208">
        <f>SUMIF($E$4:$E$192,"510",$DZ$4:$DZ$192)</f>
        <v>51091556</v>
      </c>
      <c r="EA203" s="208">
        <f>SUMIF($E$4:$E$192,"510",$EA$4:$EA$192)</f>
        <v>0</v>
      </c>
      <c r="EB203" s="208">
        <f>SUMIF($E$4:$E$192,"510",$EB$4:$EB$192)</f>
        <v>0</v>
      </c>
      <c r="EC203" s="208">
        <f>SUMIF($E$4:$E$192,"510",$EC$4:$EC$192)</f>
        <v>0</v>
      </c>
      <c r="ED203" s="208">
        <f>SUMIF($E$4:$E$194,"510",$ED$4:$ED$194)</f>
        <v>46810332</v>
      </c>
      <c r="EF203" s="998"/>
      <c r="EH203" s="998"/>
      <c r="EI203" s="1620"/>
      <c r="EJ203" s="1620"/>
    </row>
    <row r="204" spans="1:140" x14ac:dyDescent="0.25">
      <c r="C204" s="988"/>
      <c r="D204" s="1121" t="s">
        <v>1517</v>
      </c>
      <c r="E204" s="239">
        <v>520</v>
      </c>
      <c r="F204" s="133"/>
      <c r="G204" s="875">
        <f>SUMIF($E$4:$E$194,"520",$G$4:$G$194)</f>
        <v>2832000000</v>
      </c>
      <c r="H204" s="1060">
        <f>SUMIF($E$4:$E$194,"520",$H$4:$H$194)</f>
        <v>1966515918</v>
      </c>
      <c r="I204" s="1060">
        <f>SUMIF($E$4:$E$194,"520",$I$4:$I$194)</f>
        <v>1022725353</v>
      </c>
      <c r="J204" s="133"/>
      <c r="K204" s="133"/>
      <c r="L204" s="133"/>
      <c r="M204" s="133"/>
      <c r="N204" s="133"/>
      <c r="O204" s="133"/>
      <c r="P204" s="133"/>
      <c r="Q204" s="133"/>
      <c r="R204" s="133"/>
      <c r="S204" s="133"/>
      <c r="T204" s="133"/>
      <c r="U204" s="133"/>
      <c r="V204" s="133"/>
      <c r="W204" s="133"/>
      <c r="X204" s="133"/>
      <c r="Y204" s="951">
        <f>SUMIF($E$4:$E$194,"520",$Y$4:$Y$194)</f>
        <v>2989241271</v>
      </c>
      <c r="Z204" s="951">
        <f>SUMIF($E$4:$E$194,"520",$Z$4:$Z$194)</f>
        <v>0</v>
      </c>
      <c r="AA204" s="216">
        <f>SUMIF($E$4:$E$192,"520",$AA$4:$AA$192)</f>
        <v>0</v>
      </c>
      <c r="AB204" s="216">
        <f>SUMIF($E$4:$E$195,"520",$AB$4:$AB$195)</f>
        <v>0</v>
      </c>
      <c r="AC204" s="216">
        <f>SUMIF($E$4:$E$194,"520",$AC$4:$AC$194)</f>
        <v>50000000</v>
      </c>
      <c r="AD204" s="951">
        <f>SUMIF($E$4:$E$194,"520",$AD$4:$AD$194)</f>
        <v>72884540</v>
      </c>
      <c r="AE204" s="133">
        <f>SUMIF($E$4:$E$192,"520",$AE$4:$AE$192)</f>
        <v>660000000</v>
      </c>
      <c r="AF204" s="133">
        <f>SUMIF($E$4:$E$192,"520",$AF$4:$AF$192)</f>
        <v>923014856</v>
      </c>
      <c r="AG204" s="133">
        <f>SUMIF($E$4:$E$192,"520",$AG$4:$AG$192)</f>
        <v>0</v>
      </c>
      <c r="AH204" s="133">
        <f>SUMIF($E$4:$E$192,"520",$AH$4:$AH$192)</f>
        <v>0</v>
      </c>
      <c r="AI204" s="133">
        <f>SUMIF($E$4:$E$192,"520",$AI$4:$AI$192)</f>
        <v>0</v>
      </c>
      <c r="AJ204" s="133">
        <f>SUMIF($E$4:$E$192,"520",$AJ$4:$AJ$192)</f>
        <v>0</v>
      </c>
      <c r="AK204" s="133">
        <f>SUMIF($E$4:$E$192,"520",$AK$4:$AK$192)</f>
        <v>0</v>
      </c>
      <c r="AL204" s="133">
        <f>SUMIF($E$4:$E$192,"520",$AL$4:$AL$192)</f>
        <v>610864435</v>
      </c>
      <c r="AM204" s="133">
        <f>SUMIF($E$4:$E$192,"520",$AM$4:$AM$192)</f>
        <v>0</v>
      </c>
      <c r="AN204" s="133">
        <f>SUMIF($E$4:$E$192,"520",$AN$4:$AN$192)</f>
        <v>75000000</v>
      </c>
      <c r="AO204" s="133">
        <f>SUMIF($E$4:$E$192,"520",$AO$4:$AO$192)</f>
        <v>0</v>
      </c>
      <c r="AP204" s="133">
        <f>SUMIF($E$4:$E$163,"520",$AP$4:$AP$163)</f>
        <v>0</v>
      </c>
      <c r="AQ204" s="133">
        <f>SUMIF($E$4:$E$192,"520",$AQ$4:$AQ$192)</f>
        <v>0</v>
      </c>
      <c r="AR204" s="133">
        <f>SUMIF($E$4:$E$192,"520",$AR$4:$AR$192)</f>
        <v>0</v>
      </c>
      <c r="AS204" s="133">
        <f>SUMIF($E$4:$E$194,"520",$AS$4:$AS$194)</f>
        <v>597477440</v>
      </c>
      <c r="AU204" s="946">
        <f t="shared" si="205"/>
        <v>0.82265790415015316</v>
      </c>
      <c r="AV204" s="218">
        <f t="shared" si="206"/>
        <v>2459122959</v>
      </c>
      <c r="AW204" s="951">
        <f>SUMIF($E$4:$E$192,"520",$AW$4:$AW$192)</f>
        <v>0</v>
      </c>
      <c r="AX204" s="951">
        <f>SUMIF($E$4:$E$194,"520",$AX$4:$AX$194)</f>
        <v>0</v>
      </c>
      <c r="AY204" s="951">
        <f>SUMIF($E$4:$E$194,"520",$AY$4:$AY$194)</f>
        <v>0</v>
      </c>
      <c r="AZ204" s="951">
        <f>SUMIF($E$4:$E$194,"520",$AZ$4:$AZ$194)</f>
        <v>40000000</v>
      </c>
      <c r="BA204" s="951">
        <f>SUMIF($E$4:$E$192,"520",$BA$4:$BA$192)</f>
        <v>72884540</v>
      </c>
      <c r="BB204" s="951">
        <f>SUMIF($E$4:$E$192,"520",$BB$4:$BB$192)</f>
        <v>636973277</v>
      </c>
      <c r="BC204" s="951">
        <f>SUMIF($E$4:$E$194,"520",$BC$4:$BC$194)</f>
        <v>845000000</v>
      </c>
      <c r="BD204" s="951">
        <f>SUMIF($E$4:$E$194,"520",$BD$4:$BD$194)</f>
        <v>0</v>
      </c>
      <c r="BE204" s="951">
        <f>SUMIF($E$4:$E$192,"520",$BE$4:$BE$192)</f>
        <v>0</v>
      </c>
      <c r="BF204" s="951">
        <f>SUMIF($E$4:$E$192,"520",$BF$4:$BF$192)</f>
        <v>0</v>
      </c>
      <c r="BG204" s="951">
        <f>SUMIF($E$4:$E$163,"520",$BG$4:$BG$163)</f>
        <v>0</v>
      </c>
      <c r="BH204" s="951">
        <f>SUMIF($E$4:$E$192,"520",$BH$4:$BH$192)</f>
        <v>0</v>
      </c>
      <c r="BI204" s="951">
        <f>SUMIF($E$4:$E$192,"520",$BI$4:$BI$192)</f>
        <v>244660776</v>
      </c>
      <c r="BJ204" s="951">
        <f>SUMIF($E$4:$E$192,"520",$BJ$4:$BJ$192)</f>
        <v>0</v>
      </c>
      <c r="BK204" s="951">
        <f>SUMIF($E$4:$E$194,"520",$BK$4:$BK$194)</f>
        <v>66597464</v>
      </c>
      <c r="BL204" s="951">
        <f>SUMIF($E$4:$E$192,"520",$BL$4:$BL$192)</f>
        <v>0</v>
      </c>
      <c r="BM204" s="951">
        <f>SUMIF($E$4:$E$192,"520",$BM$4:$BM$192)</f>
        <v>0</v>
      </c>
      <c r="BN204" s="951">
        <f>SUMIF($E$4:$E$192,"520",$BN$4:$BN$192)</f>
        <v>0</v>
      </c>
      <c r="BO204" s="951">
        <f>SUMIF($E$4:$E$192,"520",$BO$4:$BO$192)</f>
        <v>0</v>
      </c>
      <c r="BP204" s="951">
        <f>SUMIF($E$4:$E$194,"520",$BP$4:$BP$194)</f>
        <v>553006902</v>
      </c>
      <c r="BQ204" s="950">
        <f t="shared" si="207"/>
        <v>0.17734209584984684</v>
      </c>
      <c r="BR204" s="149">
        <f t="shared" si="208"/>
        <v>530118312</v>
      </c>
      <c r="BS204" s="953">
        <f>SUMIF($E$4:$E$192,"520",$BS$4:$BS$192)</f>
        <v>0</v>
      </c>
      <c r="BT204" s="953">
        <f>SUMIF($E$4:$E$192,"520",$BT$4:$BT$192)</f>
        <v>0</v>
      </c>
      <c r="BU204" s="953">
        <f>SUMIF($E$4:$E$192,"520",$BU$4:$BU$192)</f>
        <v>0</v>
      </c>
      <c r="BV204" s="953">
        <f>SUMIF($E$4:$E$194,"520",$BV$4:$BV$194)</f>
        <v>10000000</v>
      </c>
      <c r="BW204" s="953">
        <f>SUMIF($E$4:$E$194,"520",$BW$4:$BW$194)</f>
        <v>0</v>
      </c>
      <c r="BX204" s="953">
        <f>SUMIF($E$4:$E$194,"520",$BX$4:$BX$194)</f>
        <v>23026723</v>
      </c>
      <c r="BY204" s="953">
        <f>SUMIF($E$4:$E$192,"520",$BY$4:$BY$192)</f>
        <v>78014856</v>
      </c>
      <c r="BZ204" s="953">
        <f>SUMIF($E$4:$E$192,"520",$BZ$4:$BZ$192)</f>
        <v>0</v>
      </c>
      <c r="CA204" s="953">
        <f>SUMIF($E$4:$E$192,"520",$CA$4:$CA$192)</f>
        <v>0</v>
      </c>
      <c r="CB204" s="953">
        <f>SUMIF($E$4:$E$192,"520",$CB$4:$CB$192)</f>
        <v>0</v>
      </c>
      <c r="CC204" s="953">
        <f>SUMIF($E$4:$E$192,"520",$CC$4:$CC$192)</f>
        <v>0</v>
      </c>
      <c r="CD204" s="953">
        <f>SUMIF($E$4:$E$192,"520",$CD$4:$CD$192)</f>
        <v>0</v>
      </c>
      <c r="CE204" s="953">
        <f>SUMIF($E$4:$E$192,"520",$CE$4:$CE$192)</f>
        <v>366203659</v>
      </c>
      <c r="CF204" s="953">
        <f>SUMIF($E$4:$E$192,"520",$CF$4:$CF$192)</f>
        <v>0</v>
      </c>
      <c r="CG204" s="953">
        <f>SUMIF($E$4:$E$192,"520",$CG$4:$CG$192)</f>
        <v>8402536</v>
      </c>
      <c r="CH204" s="953">
        <f>SUMIF($E$4:$E$192,"520",$CH$4:$CH$192)</f>
        <v>0</v>
      </c>
      <c r="CI204" s="953">
        <f>SUMIF($E$4:$E$192,"111",$CI$4:$CI$192)</f>
        <v>0</v>
      </c>
      <c r="CJ204" s="953">
        <f>SUMIF($E$4:$E$192,"520",$CJ$4:$CJ$192)</f>
        <v>0</v>
      </c>
      <c r="CK204" s="953">
        <f>SUMIF($E$4:$E$192,"520",$CK$4:$CK$192)</f>
        <v>0</v>
      </c>
      <c r="CL204" s="956">
        <f>SUMIF($E$4:$E$194,"520",$CL$4:$CL$194)</f>
        <v>44470538</v>
      </c>
      <c r="CM204" s="959">
        <f t="shared" si="209"/>
        <v>0.65786456820266481</v>
      </c>
      <c r="CN204" s="149">
        <f t="shared" si="210"/>
        <v>1966515918</v>
      </c>
      <c r="CO204" s="951">
        <f>SUMIF($E$4:$E$194,"520",$CO$4:$CO$194)</f>
        <v>0</v>
      </c>
      <c r="CP204" s="951">
        <f>SUMIF($E$4:$E$192,"520",$CP$4:$CP$192)</f>
        <v>0</v>
      </c>
      <c r="CQ204" s="951">
        <f>SUMIF($E$4:$E$192,"520",$CQ$4:$CQ$192)</f>
        <v>0</v>
      </c>
      <c r="CR204" s="951">
        <f>SUMIF($E$4:$E$192,"520",$CR$4:$CR$192)</f>
        <v>40000000</v>
      </c>
      <c r="CS204" s="951">
        <f>SUMIF($E$4:$E$194,"520",$CS$4:$CS$194)</f>
        <v>0</v>
      </c>
      <c r="CT204" s="951">
        <f>SUMIF($E$4:$E$192,"520",$CT$4:$CT$192)</f>
        <v>501581004</v>
      </c>
      <c r="CU204" s="951">
        <f>SUMIF($E$4:$E$192,"520",$CU$4:$CU$192)</f>
        <v>707349678</v>
      </c>
      <c r="CV204" s="951">
        <f>SUMIF($E$4:$E$194,"520",$CV$4:$CV$194)</f>
        <v>0</v>
      </c>
      <c r="CW204" s="951">
        <f>SUMIF($E$4:$E$192,"520",$CW$4:$CW$192)</f>
        <v>0</v>
      </c>
      <c r="CX204" s="951">
        <f>SUMIF($E$4:$E$192,"520",$CX$4:$CX$192)</f>
        <v>0</v>
      </c>
      <c r="CY204" s="951">
        <f>SUMIF($E$4:$E$192,"520",$CY$4:$CY$192)</f>
        <v>0</v>
      </c>
      <c r="CZ204" s="951">
        <f>SUMIF($E$4:$E$192,"520",$CZ$4:$CZ$192)</f>
        <v>0</v>
      </c>
      <c r="DA204" s="951">
        <f>SUMIF($E$4:$E$192,"520",$DA$4:$DA$192)</f>
        <v>151633574</v>
      </c>
      <c r="DB204" s="951">
        <f>SUMIF($E$4:$E$192,"520",$DB$4:$DB$192)</f>
        <v>0</v>
      </c>
      <c r="DC204" s="951">
        <f>SUMIF($E$4:$E$192,"520",$DC$4:$DC$192)</f>
        <v>54136664</v>
      </c>
      <c r="DD204" s="951">
        <f>SUMIF($E$4:$E$192,"520",$DD$4:$DD$192)</f>
        <v>0</v>
      </c>
      <c r="DE204" s="951">
        <f>SUMIF($E$4:$E$192,"520",$DE$4:$DE$192)</f>
        <v>0</v>
      </c>
      <c r="DF204" s="951">
        <f>SUMIF($E$4:$E$192,"520",$DF$4:$DF$192)</f>
        <v>0</v>
      </c>
      <c r="DG204" s="951">
        <f>SUMIF($E$4:$E$192,"520",$DG$4:$DG$192)</f>
        <v>0</v>
      </c>
      <c r="DH204" s="952">
        <f>SUMIF($E$4:$E$192,"520",$DH$4:$DH$192)</f>
        <v>511814998</v>
      </c>
      <c r="DI204" s="1011">
        <f t="shared" si="211"/>
        <v>0.34213543179733519</v>
      </c>
      <c r="DJ204" s="149">
        <f t="shared" si="212"/>
        <v>1022725353</v>
      </c>
      <c r="DK204" s="1040">
        <f>SUMIF($E$4:$E$194,"520",$DK$4:$DK$194)</f>
        <v>0</v>
      </c>
      <c r="DL204" s="953">
        <f>SUMIF($E$4:$E$192,"520",$DL$4:$DL$192)</f>
        <v>0</v>
      </c>
      <c r="DM204" s="953">
        <f>SUMIF($E$4:$E$194,"520",$DM$4:$DM$194)</f>
        <v>0</v>
      </c>
      <c r="DN204" s="953">
        <f>SUMIF($E$4:$E$194,"520",$DN$4:$DN$194)</f>
        <v>10000000</v>
      </c>
      <c r="DO204" s="953">
        <f>SUMIF($E$4:$E$194,"520",$DO$4:$DO$194)</f>
        <v>72884540</v>
      </c>
      <c r="DP204" s="953">
        <f>SUMIF($E$4:$E$194,"520",$DP$4:$DP$194)</f>
        <v>158418996</v>
      </c>
      <c r="DQ204" s="953">
        <f>SUMIF($E$4:$E$194,"520",$DQ$4:$DQ$194)</f>
        <v>215665178</v>
      </c>
      <c r="DR204" s="953">
        <f>SUMIF($E$4:$E$194,"520",$DR$4:$DR$194)</f>
        <v>0</v>
      </c>
      <c r="DS204" s="208">
        <f>SUMIF($E$4:$E$192,"520",$DS$4:$DS$192)</f>
        <v>0</v>
      </c>
      <c r="DT204" s="208">
        <f>SUMIF($E$4:$E$192,"520",$DT$4:$DT$192)</f>
        <v>0</v>
      </c>
      <c r="DU204" s="208">
        <f>SUMIF($E$4:$E$194,"520",$DU$4:$DU$194)</f>
        <v>0</v>
      </c>
      <c r="DV204" s="208">
        <f>SUMIF($E$4:$E$192,"520",$DV$4:$DV$192)</f>
        <v>0</v>
      </c>
      <c r="DW204" s="208">
        <f>SUMIF($E$4:$E$192,"520",$DW$4:$DW$192)</f>
        <v>459230861</v>
      </c>
      <c r="DX204" s="208">
        <f>SUMIF($E$4:$E$194,"520",$DX$4:$DX$194)</f>
        <v>0</v>
      </c>
      <c r="DY204" s="208">
        <f>SUMIF($E$4:$E$192,"520",$DY$4:$DY$192)</f>
        <v>20863336</v>
      </c>
      <c r="DZ204" s="208">
        <f>SUMIF($E$4:$E$192,"520",$DZ$4:$DZ$192)</f>
        <v>0</v>
      </c>
      <c r="EA204" s="208">
        <f>SUMIF($E$4:$E$192,"520",$EA$4:$EA$192)</f>
        <v>0</v>
      </c>
      <c r="EB204" s="208">
        <f>SUMIF($E$4:$E$192,"520",$EB$4:$EB$192)</f>
        <v>0</v>
      </c>
      <c r="EC204" s="208">
        <f>SUMIF($E$4:$E$192,"520",$EC$4:$EC$192)</f>
        <v>0</v>
      </c>
      <c r="ED204" s="208">
        <f>SUMIF($E$4:$E$194,"520",$ED$4:$ED$194)</f>
        <v>85662442</v>
      </c>
      <c r="EF204" s="998"/>
    </row>
    <row r="205" spans="1:140" x14ac:dyDescent="0.25">
      <c r="C205" s="988"/>
      <c r="D205" s="1121" t="s">
        <v>4587</v>
      </c>
      <c r="E205" s="1122"/>
      <c r="F205" s="3"/>
      <c r="G205" s="875">
        <f>SUM(G199:G204)</f>
        <v>30001000000</v>
      </c>
      <c r="H205" s="1060">
        <f>SUM(H199:H204)</f>
        <v>12211963146</v>
      </c>
      <c r="I205" s="1060">
        <f>SUM(I199:I204)</f>
        <v>10321893357</v>
      </c>
      <c r="J205" s="3"/>
      <c r="K205" s="3"/>
      <c r="L205" s="3"/>
      <c r="M205" s="3"/>
      <c r="N205" s="3"/>
      <c r="O205" s="3"/>
      <c r="P205" s="3"/>
      <c r="Q205" s="3"/>
      <c r="R205" s="3"/>
      <c r="S205" s="3"/>
      <c r="T205" s="3"/>
      <c r="U205" s="3"/>
      <c r="V205" s="3"/>
      <c r="W205" s="3"/>
      <c r="X205" s="3"/>
      <c r="Y205" s="954">
        <f t="shared" ref="Y205:AT205" si="213">SUM(Y199:Y204)</f>
        <v>22533856503</v>
      </c>
      <c r="Z205" s="954">
        <f t="shared" si="213"/>
        <v>0</v>
      </c>
      <c r="AA205" s="955">
        <f t="shared" si="213"/>
        <v>134533656</v>
      </c>
      <c r="AB205" s="955">
        <f t="shared" si="213"/>
        <v>396726534</v>
      </c>
      <c r="AC205" s="955">
        <f t="shared" si="213"/>
        <v>9862143612</v>
      </c>
      <c r="AD205" s="955">
        <f t="shared" si="213"/>
        <v>92895874</v>
      </c>
      <c r="AE205" s="955">
        <f t="shared" si="213"/>
        <v>2509180877</v>
      </c>
      <c r="AF205" s="955">
        <f t="shared" si="213"/>
        <v>1300000000</v>
      </c>
      <c r="AG205" s="955">
        <f t="shared" si="213"/>
        <v>102810569</v>
      </c>
      <c r="AH205" s="955">
        <f t="shared" si="213"/>
        <v>219471348</v>
      </c>
      <c r="AI205" s="955">
        <f t="shared" si="213"/>
        <v>1940856</v>
      </c>
      <c r="AJ205" s="955">
        <f t="shared" si="213"/>
        <v>3438802</v>
      </c>
      <c r="AK205" s="955">
        <f t="shared" si="213"/>
        <v>318664514</v>
      </c>
      <c r="AL205" s="955">
        <f t="shared" si="213"/>
        <v>4114878115</v>
      </c>
      <c r="AM205" s="955">
        <f t="shared" si="213"/>
        <v>348609139</v>
      </c>
      <c r="AN205" s="955">
        <f t="shared" si="213"/>
        <v>727437634</v>
      </c>
      <c r="AO205" s="955">
        <f t="shared" si="213"/>
        <v>879054052</v>
      </c>
      <c r="AP205" s="955">
        <f t="shared" si="213"/>
        <v>0</v>
      </c>
      <c r="AQ205" s="955">
        <f t="shared" si="213"/>
        <v>80844085</v>
      </c>
      <c r="AR205" s="955">
        <f t="shared" si="213"/>
        <v>92524043</v>
      </c>
      <c r="AS205" s="955">
        <f t="shared" si="213"/>
        <v>1348702793</v>
      </c>
      <c r="AT205" s="955">
        <f t="shared" si="213"/>
        <v>0</v>
      </c>
      <c r="AU205" s="946">
        <f t="shared" si="205"/>
        <v>0.7766560263073492</v>
      </c>
      <c r="AV205" s="954">
        <f t="shared" ref="AV205:BP205" si="214">SUM(AV199:AV204)</f>
        <v>17501055449</v>
      </c>
      <c r="AW205" s="146">
        <f t="shared" si="214"/>
        <v>0</v>
      </c>
      <c r="AX205" s="146">
        <f t="shared" si="214"/>
        <v>127311678</v>
      </c>
      <c r="AY205" s="146">
        <f t="shared" si="214"/>
        <v>364926534</v>
      </c>
      <c r="AZ205" s="146">
        <f t="shared" si="214"/>
        <v>7617755369</v>
      </c>
      <c r="BA205" s="146">
        <f t="shared" si="214"/>
        <v>90387830</v>
      </c>
      <c r="BB205" s="146">
        <f t="shared" si="214"/>
        <v>2155554199</v>
      </c>
      <c r="BC205" s="146">
        <f t="shared" si="214"/>
        <v>1164170675</v>
      </c>
      <c r="BD205" s="146">
        <f t="shared" si="214"/>
        <v>102810569</v>
      </c>
      <c r="BE205" s="146">
        <f t="shared" si="214"/>
        <v>219471348</v>
      </c>
      <c r="BF205" s="146">
        <f t="shared" si="214"/>
        <v>0</v>
      </c>
      <c r="BG205" s="146">
        <f t="shared" si="214"/>
        <v>0</v>
      </c>
      <c r="BH205" s="146">
        <f t="shared" si="214"/>
        <v>166126063</v>
      </c>
      <c r="BI205" s="146">
        <f t="shared" si="214"/>
        <v>2656492070</v>
      </c>
      <c r="BJ205" s="146">
        <f t="shared" si="214"/>
        <v>230755419</v>
      </c>
      <c r="BK205" s="146">
        <f t="shared" si="214"/>
        <v>488800276</v>
      </c>
      <c r="BL205" s="146">
        <f t="shared" si="214"/>
        <v>864037826</v>
      </c>
      <c r="BM205" s="146">
        <f t="shared" si="214"/>
        <v>0</v>
      </c>
      <c r="BN205" s="146">
        <f t="shared" si="214"/>
        <v>80844085</v>
      </c>
      <c r="BO205" s="146">
        <f t="shared" si="214"/>
        <v>92524043</v>
      </c>
      <c r="BP205" s="146">
        <f t="shared" si="214"/>
        <v>1079087465</v>
      </c>
      <c r="BQ205" s="950">
        <f t="shared" si="207"/>
        <v>0.2233439736926508</v>
      </c>
      <c r="BR205" s="146">
        <f t="shared" ref="BR205:CL205" si="215">SUM(BR199:BR204)</f>
        <v>5032801054</v>
      </c>
      <c r="BS205" s="146">
        <f t="shared" si="215"/>
        <v>0</v>
      </c>
      <c r="BT205" s="146">
        <f t="shared" si="215"/>
        <v>7221978</v>
      </c>
      <c r="BU205" s="146">
        <f t="shared" si="215"/>
        <v>31800000</v>
      </c>
      <c r="BV205" s="149">
        <f t="shared" si="215"/>
        <v>2244388243</v>
      </c>
      <c r="BW205" s="149">
        <f t="shared" si="215"/>
        <v>2508044</v>
      </c>
      <c r="BX205" s="149">
        <f t="shared" si="215"/>
        <v>353626678</v>
      </c>
      <c r="BY205" s="149">
        <f t="shared" si="215"/>
        <v>135829325</v>
      </c>
      <c r="BZ205" s="149">
        <f t="shared" si="215"/>
        <v>0</v>
      </c>
      <c r="CA205" s="149">
        <f t="shared" si="215"/>
        <v>0</v>
      </c>
      <c r="CB205" s="149">
        <f t="shared" si="215"/>
        <v>1940856</v>
      </c>
      <c r="CC205" s="149">
        <f t="shared" si="215"/>
        <v>3438802</v>
      </c>
      <c r="CD205" s="149">
        <f t="shared" si="215"/>
        <v>152538451</v>
      </c>
      <c r="CE205" s="149">
        <f t="shared" si="215"/>
        <v>1458386045</v>
      </c>
      <c r="CF205" s="149">
        <f t="shared" si="215"/>
        <v>117853720</v>
      </c>
      <c r="CG205" s="149">
        <f t="shared" si="215"/>
        <v>238637358</v>
      </c>
      <c r="CH205" s="149">
        <f t="shared" si="215"/>
        <v>15016226</v>
      </c>
      <c r="CI205" s="149">
        <f t="shared" si="215"/>
        <v>0</v>
      </c>
      <c r="CJ205" s="149">
        <f t="shared" si="215"/>
        <v>0</v>
      </c>
      <c r="CK205" s="149">
        <f t="shared" si="215"/>
        <v>0</v>
      </c>
      <c r="CL205" s="149">
        <f t="shared" si="215"/>
        <v>269615328</v>
      </c>
      <c r="CM205" s="959">
        <f t="shared" si="209"/>
        <v>0.54193844468540864</v>
      </c>
      <c r="CN205" s="149">
        <f t="shared" ref="CN205:DH205" si="216">SUM(CN199:CN204)</f>
        <v>12211963146</v>
      </c>
      <c r="CO205" s="149">
        <f t="shared" si="216"/>
        <v>0</v>
      </c>
      <c r="CP205" s="219">
        <f t="shared" si="216"/>
        <v>127311678</v>
      </c>
      <c r="CQ205" s="219">
        <f t="shared" si="216"/>
        <v>364926534</v>
      </c>
      <c r="CR205" s="219">
        <f t="shared" si="216"/>
        <v>4707463138</v>
      </c>
      <c r="CS205" s="219">
        <f t="shared" si="216"/>
        <v>12550540</v>
      </c>
      <c r="CT205" s="954">
        <f t="shared" si="216"/>
        <v>1939216290</v>
      </c>
      <c r="CU205" s="954">
        <f t="shared" si="216"/>
        <v>1019225454</v>
      </c>
      <c r="CV205" s="954">
        <f t="shared" si="216"/>
        <v>102810569</v>
      </c>
      <c r="CW205" s="954">
        <f t="shared" si="216"/>
        <v>129471348</v>
      </c>
      <c r="CX205" s="954">
        <f t="shared" si="216"/>
        <v>0</v>
      </c>
      <c r="CY205" s="954">
        <f t="shared" si="216"/>
        <v>0</v>
      </c>
      <c r="CZ205" s="954">
        <f t="shared" si="216"/>
        <v>50855038</v>
      </c>
      <c r="DA205" s="954">
        <f t="shared" si="216"/>
        <v>1689569911</v>
      </c>
      <c r="DB205" s="954">
        <f t="shared" si="216"/>
        <v>163273356</v>
      </c>
      <c r="DC205" s="954">
        <f t="shared" si="216"/>
        <v>398265131</v>
      </c>
      <c r="DD205" s="954">
        <f t="shared" si="216"/>
        <v>603562553</v>
      </c>
      <c r="DE205" s="954">
        <f t="shared" si="216"/>
        <v>0</v>
      </c>
      <c r="DF205" s="954">
        <f t="shared" si="216"/>
        <v>32548551</v>
      </c>
      <c r="DG205" s="954">
        <f t="shared" si="216"/>
        <v>0</v>
      </c>
      <c r="DH205" s="955">
        <f t="shared" si="216"/>
        <v>870913055</v>
      </c>
      <c r="DI205" s="1011">
        <f t="shared" si="211"/>
        <v>0.45806155531459136</v>
      </c>
      <c r="DJ205" s="954">
        <f t="shared" ref="DJ205:ED205" ca="1" si="217">SUM(DJ199:DJ204)</f>
        <v>10321893357</v>
      </c>
      <c r="DK205" s="1041">
        <f t="shared" si="217"/>
        <v>0</v>
      </c>
      <c r="DL205" s="955">
        <f t="shared" ca="1" si="217"/>
        <v>7221978</v>
      </c>
      <c r="DM205" s="955">
        <f t="shared" si="217"/>
        <v>31800000</v>
      </c>
      <c r="DN205" s="955">
        <f t="shared" si="217"/>
        <v>5154680474</v>
      </c>
      <c r="DO205" s="955">
        <f t="shared" si="217"/>
        <v>80345334</v>
      </c>
      <c r="DP205" s="149">
        <f t="shared" si="217"/>
        <v>569964587</v>
      </c>
      <c r="DQ205" s="149">
        <f t="shared" si="217"/>
        <v>280774546</v>
      </c>
      <c r="DR205" s="149">
        <f t="shared" si="217"/>
        <v>0</v>
      </c>
      <c r="DS205" s="149">
        <f t="shared" si="217"/>
        <v>90000000</v>
      </c>
      <c r="DT205" s="149">
        <f t="shared" si="217"/>
        <v>1940856</v>
      </c>
      <c r="DU205" s="149">
        <f t="shared" si="217"/>
        <v>3438802</v>
      </c>
      <c r="DV205" s="149">
        <f t="shared" si="217"/>
        <v>267809476</v>
      </c>
      <c r="DW205" s="149">
        <f t="shared" si="217"/>
        <v>2425308204</v>
      </c>
      <c r="DX205" s="149">
        <f t="shared" si="217"/>
        <v>185335783</v>
      </c>
      <c r="DY205" s="149">
        <f t="shared" si="217"/>
        <v>329172503</v>
      </c>
      <c r="DZ205" s="149">
        <f t="shared" si="217"/>
        <v>275491499</v>
      </c>
      <c r="EA205" s="149">
        <f t="shared" si="217"/>
        <v>0</v>
      </c>
      <c r="EB205" s="149">
        <f t="shared" si="217"/>
        <v>48295534</v>
      </c>
      <c r="EC205" s="149">
        <f t="shared" si="217"/>
        <v>92524043</v>
      </c>
      <c r="ED205" s="149">
        <f t="shared" si="217"/>
        <v>477789738</v>
      </c>
      <c r="EF205" s="998"/>
      <c r="EH205" s="1621"/>
      <c r="EI205" s="1620"/>
    </row>
    <row r="206" spans="1:140" x14ac:dyDescent="0.25">
      <c r="C206" s="988"/>
      <c r="D206" s="1121" t="s">
        <v>3307</v>
      </c>
      <c r="E206" s="1127">
        <v>301</v>
      </c>
      <c r="F206" s="133"/>
      <c r="G206" s="875">
        <f>SUMIF($E$4:$E$194,"301",$G$4:$G$194)</f>
        <v>1952000000</v>
      </c>
      <c r="H206" s="1060">
        <f>SUMIF($E$4:$E$194,"301",$H$4:$H$194)</f>
        <v>2270218833</v>
      </c>
      <c r="I206" s="1060">
        <f>SUMIF($E$4:$E$194,"301",$I$4:$I$194)</f>
        <v>285017967</v>
      </c>
      <c r="J206" s="133" t="s">
        <v>4760</v>
      </c>
      <c r="K206" s="133"/>
      <c r="L206" s="133"/>
      <c r="M206" s="133"/>
      <c r="N206" s="133"/>
      <c r="O206" s="133"/>
      <c r="P206" s="133"/>
      <c r="Q206" s="133"/>
      <c r="R206" s="133"/>
      <c r="S206" s="133"/>
      <c r="T206" s="133"/>
      <c r="U206" s="133"/>
      <c r="V206" s="133"/>
      <c r="W206" s="133"/>
      <c r="X206" s="133"/>
      <c r="Y206" s="951">
        <f>SUMIF($E$4:$E$194,"301",$Y$4:$Y$194)</f>
        <v>2555236800</v>
      </c>
      <c r="Z206" s="951">
        <f>SUMIF($E$4:$E$194,"301",$Z$4:$Z$194)</f>
        <v>104079469</v>
      </c>
      <c r="AA206" s="216">
        <f>SUMIF($E$4:$E$192,"301",$AA$4:$AA$192)</f>
        <v>0</v>
      </c>
      <c r="AB206" s="216">
        <f>SUMIF($E$4:$E$195,"301",$AB$4:$AB$195)</f>
        <v>0</v>
      </c>
      <c r="AC206" s="216">
        <f>SUMIF($E$4:$E$194,"301",$AC$4:$AC$194)</f>
        <v>0</v>
      </c>
      <c r="AD206" s="951">
        <f>SUMIF($E$4:$E$194,"301",$AD$4:$AD$194)</f>
        <v>0</v>
      </c>
      <c r="AE206" s="133">
        <f>SUMIF($E$4:$E$192,"301",$AE$4:$AE$192)</f>
        <v>0</v>
      </c>
      <c r="AF206" s="133">
        <f>SUMIF($E$4:$E$192,"301",$AF$4:$AF$192)</f>
        <v>0</v>
      </c>
      <c r="AG206" s="133">
        <f>SUMIF($E$4:$E$192,"301",$AG$4:$AG$192)</f>
        <v>0</v>
      </c>
      <c r="AH206" s="133">
        <f>SUMIF($E$4:$E$192,"301",$AH$4:$AH$192)</f>
        <v>0</v>
      </c>
      <c r="AI206" s="133">
        <f>SUMIF($E$4:$E$192,"301",$AI$4:$AI$192)</f>
        <v>0</v>
      </c>
      <c r="AJ206" s="133">
        <f>SUMIF($E$4:$E$192,"301",$AJ$4:$AJ$192)</f>
        <v>0</v>
      </c>
      <c r="AK206" s="133">
        <f>SUMIF($E$4:$E$192,"301",$AK$4:$AK$192)</f>
        <v>0</v>
      </c>
      <c r="AL206" s="133">
        <f>SUMIF($E$4:$E$192,"301",$AL$4:$AL$192)</f>
        <v>0</v>
      </c>
      <c r="AM206" s="133">
        <f>SUMIF($E$4:$E$192,"301",$AM$4:$AM$192)</f>
        <v>728406867</v>
      </c>
      <c r="AN206" s="133">
        <f>SUMIF($E$4:$E$192,"301",$AN$4:$AN$192)</f>
        <v>346819196</v>
      </c>
      <c r="AO206" s="133">
        <f>SUMIF($E$4:$E$192,"301",$AO$4:$AO$192)</f>
        <v>120323279</v>
      </c>
      <c r="AP206" s="133">
        <f>SUMIF($E$4:$E$163,"301",$AP$4:$AP$163)</f>
        <v>1181607989</v>
      </c>
      <c r="AQ206" s="133">
        <f>SUMIF($E$4:$E$163,"301",$AQ$4:$AQ$163)</f>
        <v>0</v>
      </c>
      <c r="AR206" s="133">
        <f>SUMIF($E$4:$E$192,"301",$AR$4:$AR$192)</f>
        <v>0</v>
      </c>
      <c r="AS206" s="133">
        <f>SUMIF($E$4:$E$194,"301",$AS$4:$AS$194)</f>
        <v>74000000</v>
      </c>
      <c r="AU206" s="946">
        <f t="shared" si="205"/>
        <v>0.95536877443217783</v>
      </c>
      <c r="AV206" s="218">
        <f>SUM(AW206:BP206)</f>
        <v>2441193450</v>
      </c>
      <c r="AW206" s="951">
        <f>SUMIF($E$4:$E$192,"301",$AW$4:$AW$192)</f>
        <v>103245422</v>
      </c>
      <c r="AX206" s="951">
        <f>SUMIF($E$4:$E$194,"301",$AX$4:$AX$194)</f>
        <v>0</v>
      </c>
      <c r="AY206" s="951">
        <f>SUMIF($E$4:$E$194,"301",$AY$4:$AY$194)</f>
        <v>0</v>
      </c>
      <c r="AZ206" s="951">
        <f>SUMIF($E$4:$E$194,"301",$AZ$4:$AZ$194)</f>
        <v>0</v>
      </c>
      <c r="BA206" s="951">
        <f>SUMIF($E$4:$E$192,"301",$BA$4:$BA$192)</f>
        <v>0</v>
      </c>
      <c r="BB206" s="951">
        <f>SUMIF($E$4:$E$192,"301",$BB$4:$BB$192)</f>
        <v>0</v>
      </c>
      <c r="BC206" s="951">
        <f>SUMIF($E$4:$E$194,"301",$BC$4:$BC$194)</f>
        <v>0</v>
      </c>
      <c r="BD206" s="951">
        <f>SUMIF($E$4:$E$194,"301",$BD$4:$BD$194)</f>
        <v>0</v>
      </c>
      <c r="BE206" s="951">
        <f>SUMIF($E$4:$E$192,"301",$BE$4:$BE$192)</f>
        <v>0</v>
      </c>
      <c r="BF206" s="951">
        <f>SUMIF($E$4:$E$192,"301",$BF$4:$BF$192)</f>
        <v>0</v>
      </c>
      <c r="BG206" s="951">
        <f>SUMIF($E$4:$E$163,"301",$BG$4:$BG$163)</f>
        <v>0</v>
      </c>
      <c r="BH206" s="951">
        <f>SUMIF($E$4:$E$192,"301",$BH$4:$BH$192)</f>
        <v>0</v>
      </c>
      <c r="BI206" s="951">
        <f>SUMIF($E$4:$E$192,"301",$BI$4:$BI$192)</f>
        <v>0</v>
      </c>
      <c r="BJ206" s="951">
        <f>SUMIF($E$4:$E$192,"301",$BJ$4:$BJ$192)</f>
        <v>709199167</v>
      </c>
      <c r="BK206" s="951">
        <f>SUMIF($E$4:$E$194,"301",$BK$4:$BK$194)</f>
        <v>332734396</v>
      </c>
      <c r="BL206" s="951">
        <f>SUMIF($E$4:$E$192,"301",$BL$4:$BL$192)</f>
        <v>90750110</v>
      </c>
      <c r="BM206" s="951">
        <f>SUMIF($E$4:$E$192,"301",$BM$4:$BM$192)</f>
        <v>1141064355</v>
      </c>
      <c r="BN206" s="951">
        <f>SUMIF($E$4:$E$192,"301",$BN$4:$BN$192)</f>
        <v>0</v>
      </c>
      <c r="BO206" s="951">
        <f>SUMIF($E$4:$E$192,"301",$BO$4:$BO$192)</f>
        <v>0</v>
      </c>
      <c r="BP206" s="951">
        <f>SUMIF($E$4:$E$192,"301",$BP$4:$BP$192)</f>
        <v>64200000</v>
      </c>
      <c r="BQ206" s="950">
        <f t="shared" si="207"/>
        <v>4.4631225567822175E-2</v>
      </c>
      <c r="BR206" s="149">
        <f>SUM(BS206:CL206)</f>
        <v>114043350</v>
      </c>
      <c r="BS206" s="953">
        <f>SUMIF($E$4:$E$192,"301",$BS$4:$BS$192)</f>
        <v>834047</v>
      </c>
      <c r="BT206" s="953">
        <f>SUMIF($E$4:$E$192,"301",$BT$4:$BT$192)</f>
        <v>0</v>
      </c>
      <c r="BU206" s="953">
        <f>SUMIF($E$4:$E$192,"301",$BU$4:$BU$192)</f>
        <v>0</v>
      </c>
      <c r="BV206" s="953">
        <f>SUMIF($E$4:$E$194,"301",$BV$4:$BV$194)</f>
        <v>0</v>
      </c>
      <c r="BW206" s="953">
        <f>SUMIF($E$4:$E$194,"301",$BW$4:$BW$194)</f>
        <v>0</v>
      </c>
      <c r="BX206" s="953">
        <f>SUMIF($E$4:$E$192,"301",$BX$4:$BX$192)</f>
        <v>0</v>
      </c>
      <c r="BY206" s="953">
        <f>SUMIF($E$4:$E$192,"301",$BY$4:$BY$192)</f>
        <v>0</v>
      </c>
      <c r="BZ206" s="953">
        <f>SUMIF($E$4:$E$192,"301",$BZ$4:$BZ$192)</f>
        <v>0</v>
      </c>
      <c r="CA206" s="953">
        <f>SUMIF($E$4:$E$192,"301",$CA$4:$CA$192)</f>
        <v>0</v>
      </c>
      <c r="CB206" s="953">
        <f>SUMIF($E$4:$E$192,"301",$CB$4:$CB$192)</f>
        <v>0</v>
      </c>
      <c r="CC206" s="953">
        <f>SUMIF($E$4:$E$192,"301",$CC$4:$CC$192)</f>
        <v>0</v>
      </c>
      <c r="CD206" s="953">
        <f>SUMIF($E$4:$E$192,"301",$CD$4:$CD$192)</f>
        <v>0</v>
      </c>
      <c r="CE206" s="953">
        <f>SUMIF($E$4:$E$192,"301",$CE$4:$CE$192)</f>
        <v>0</v>
      </c>
      <c r="CF206" s="953">
        <f>SUMIF($E$4:$E$192,"301",$CF$4:$CF$192)</f>
        <v>19207700</v>
      </c>
      <c r="CG206" s="953">
        <f>SUMIF($E$4:$E$192,"301",$CG$4:$CG$192)</f>
        <v>14084800</v>
      </c>
      <c r="CH206" s="953">
        <f>SUMIF($E$4:$E$192,"301",$CH$4:$CH$192)</f>
        <v>29573169</v>
      </c>
      <c r="CI206" s="953">
        <f>SUMIF($E$4:$E$192,"301",$CI$4:$CI$192)</f>
        <v>40543634</v>
      </c>
      <c r="CJ206" s="953">
        <f>SUMIF($E$4:$E$192,"301",$CJ$4:$CJ$192)</f>
        <v>0</v>
      </c>
      <c r="CK206" s="953"/>
      <c r="CL206" s="956">
        <f>SUMIF($E$4:$E$194,"301",$CL$4:$CL$194)</f>
        <v>9800000</v>
      </c>
      <c r="CM206" s="959">
        <f t="shared" si="209"/>
        <v>0.88845731753706736</v>
      </c>
      <c r="CN206" s="149">
        <f>SUM(CO206:DH206)</f>
        <v>2270218833</v>
      </c>
      <c r="CO206" s="951">
        <f>SUMIF($E$4:$E$194,"301",$CO$4:$CO$194)</f>
        <v>94013966</v>
      </c>
      <c r="CP206" s="951">
        <f>SUMIF($E$4:$E$192,"301",$CP$4:$CP$192)</f>
        <v>0</v>
      </c>
      <c r="CQ206" s="951">
        <f>SUMIF($E$4:$E$192,"301",$CQ$4:$CQ$192)</f>
        <v>0</v>
      </c>
      <c r="CR206" s="951">
        <f>SUMIF($E$4:$E$192,"301",$CR$4:$CR$192)</f>
        <v>0</v>
      </c>
      <c r="CS206" s="951">
        <f>SUMIF($E$4:$E$194,"301",$CS$4:$CS$194)</f>
        <v>0</v>
      </c>
      <c r="CT206" s="951">
        <f>SUMIF($E$4:$E$192,"301",$CT$4:$CT$192)</f>
        <v>0</v>
      </c>
      <c r="CU206" s="951">
        <f>SUMIF($E$4:$E$192,"301",$CU$4:$CU$192)</f>
        <v>0</v>
      </c>
      <c r="CV206" s="951">
        <f>SUMIF($E$4:$E$194,"301",$CV$4:$CV$194)</f>
        <v>0</v>
      </c>
      <c r="CW206" s="951">
        <f>SUMIF($E$4:$E$192,"301",$CW$4:$CW$192)</f>
        <v>0</v>
      </c>
      <c r="CX206" s="951">
        <f>SUMIF($E$4:$E$192,"301",$CX$4:$CX$192)</f>
        <v>0</v>
      </c>
      <c r="CY206" s="951">
        <f>SUMIF($E$4:$E$192,"301",$CY$4:$CY$192)</f>
        <v>0</v>
      </c>
      <c r="CZ206" s="951">
        <f>SUMIF($E$4:$E$192,"301",$CZ$4:$CZ$192)</f>
        <v>0</v>
      </c>
      <c r="DA206" s="951">
        <f>SUMIF($E$4:$E$192,"301",$DA$4:$DA$192)</f>
        <v>0</v>
      </c>
      <c r="DB206" s="951">
        <f>SUMIF($E$4:$E$194,"301",$DB$4:$DB$194)</f>
        <v>670072305</v>
      </c>
      <c r="DC206" s="951">
        <f>SUMIF($E$4:$E$192,"301",$DC$4:$DC$192)</f>
        <v>332531008</v>
      </c>
      <c r="DD206" s="951">
        <f>SUMIF($E$4:$E$192,"301",$DD$4:$DD$192)</f>
        <v>56390498</v>
      </c>
      <c r="DE206" s="951">
        <f>SUMIF($E$4:$E$192,"301",$DE$4:$DE$192)</f>
        <v>1082996639</v>
      </c>
      <c r="DF206" s="951">
        <f>SUMIF($E$4:$E$192,"301",$DF$4:$DF$192)</f>
        <v>0</v>
      </c>
      <c r="DG206" s="951">
        <f>SUMIF($E$4:$E$192,"301",$DG$4:$DG$192)</f>
        <v>0</v>
      </c>
      <c r="DH206" s="952">
        <f>SUMIF($E$4:$E$192,"301",$DH$4:$DH$192)</f>
        <v>34214417</v>
      </c>
      <c r="DI206" s="1011">
        <f t="shared" si="211"/>
        <v>0.11154268246293264</v>
      </c>
      <c r="DJ206" s="149">
        <f>SUM(DK206:ED206)</f>
        <v>285017967</v>
      </c>
      <c r="DK206" s="1040">
        <f>SUMIF($E$4:$E$194,"301",$DK$4:$DK$194)</f>
        <v>10065503</v>
      </c>
      <c r="DL206" s="953">
        <f>SUMIF($E$4:$E$192,"301",$DL$4:$DL$192)</f>
        <v>0</v>
      </c>
      <c r="DM206" s="953">
        <f>SUMIF($E$4:$E$194,"301",$DM$4:$DM$194)</f>
        <v>0</v>
      </c>
      <c r="DN206" s="953">
        <f>SUMIF($E$4:$E$192,"301",$DN$4:$DN$192)</f>
        <v>0</v>
      </c>
      <c r="DO206" s="953">
        <f>SUMIF($E$4:$E$194,"301",$DO$4:$DO$194)</f>
        <v>0</v>
      </c>
      <c r="DP206" s="953">
        <f>SUMIF($E$4:$E$194,"301",$DP$4:$DP$194)</f>
        <v>0</v>
      </c>
      <c r="DQ206" s="953">
        <f>SUMIF($E$4:$E$192,"301",$DQ$4:$DQ$192)</f>
        <v>0</v>
      </c>
      <c r="DR206" s="953">
        <f>SUMIF($E$4:$E$194,"301",$DR$4:$DR$194)</f>
        <v>0</v>
      </c>
      <c r="DS206" s="208">
        <f>SUMIF($E$4:$E$192,"301",$DS$4:$DS$192)</f>
        <v>0</v>
      </c>
      <c r="DT206" s="208">
        <f>SUMIF($E$4:$E$192,"301",$DT$4:$DT$192)</f>
        <v>0</v>
      </c>
      <c r="DU206" s="208">
        <f>SUMIF($E$4:$E$194,"301",$DU$4:$DU$194)</f>
        <v>0</v>
      </c>
      <c r="DV206" s="208">
        <f>SUMIF($E$4:$E$192,"301",$DV$4:$DV$192)</f>
        <v>0</v>
      </c>
      <c r="DW206" s="208">
        <f>SUMIF($E$4:$E$192,"301",$DW$4:$DW$192)</f>
        <v>0</v>
      </c>
      <c r="DX206" s="208">
        <f>SUMIF($E$4:$E$194,"301",$DX$4:$DX$194)</f>
        <v>58334562</v>
      </c>
      <c r="DY206" s="208">
        <f>SUMIF($E$4:$E$192,"301",$DY$4:$DY$192)</f>
        <v>14288188</v>
      </c>
      <c r="DZ206" s="208">
        <f>SUMIF($E$4:$E$192,"301",$DZ$4:$DZ$192)</f>
        <v>63932781</v>
      </c>
      <c r="EA206" s="208">
        <f>SUMIF($E$4:$E$192,"301",$EA$4:$EA$192)</f>
        <v>98611350</v>
      </c>
      <c r="EB206" s="208">
        <f>SUMIF($E$4:$E$192,"301",$EB$4:$EB$192)</f>
        <v>0</v>
      </c>
      <c r="EC206" s="208">
        <f>SUMIF($E$4:$E$192,"301",$EC$4:$EC$192)</f>
        <v>0</v>
      </c>
      <c r="ED206" s="208">
        <f>SUMIF($E$4:$E$194,"301",$ED$4:$ED$194)</f>
        <v>39785583</v>
      </c>
      <c r="EF206" s="998"/>
      <c r="EH206" s="1621"/>
      <c r="EI206" s="1620"/>
    </row>
    <row r="207" spans="1:140" ht="15.75" thickBot="1" x14ac:dyDescent="0.3">
      <c r="C207" s="1533" t="s">
        <v>4588</v>
      </c>
      <c r="D207" s="1534"/>
      <c r="E207" s="132"/>
      <c r="F207" s="134"/>
      <c r="G207" s="145">
        <f>SUM(G205:G206)</f>
        <v>31953000000</v>
      </c>
      <c r="H207" s="134">
        <f>SUM(H205:H206)</f>
        <v>14482181979</v>
      </c>
      <c r="I207" s="134">
        <f>SUM(I205:I206)</f>
        <v>10606911324</v>
      </c>
      <c r="J207" s="134"/>
      <c r="K207" s="134"/>
      <c r="L207" s="134"/>
      <c r="M207" s="134"/>
      <c r="N207" s="134"/>
      <c r="O207" s="134"/>
      <c r="P207" s="134"/>
      <c r="Q207" s="134"/>
      <c r="R207" s="134"/>
      <c r="S207" s="134"/>
      <c r="T207" s="134"/>
      <c r="U207" s="134"/>
      <c r="V207" s="134"/>
      <c r="W207" s="134"/>
      <c r="X207" s="134"/>
      <c r="Y207" s="945">
        <f t="shared" ref="Y207:AT207" si="218">SUM(Y205:Y206)</f>
        <v>25089093303</v>
      </c>
      <c r="Z207" s="945">
        <f t="shared" si="218"/>
        <v>104079469</v>
      </c>
      <c r="AA207" s="945">
        <f t="shared" si="218"/>
        <v>134533656</v>
      </c>
      <c r="AB207" s="945">
        <f t="shared" si="218"/>
        <v>396726534</v>
      </c>
      <c r="AC207" s="945">
        <f t="shared" si="218"/>
        <v>9862143612</v>
      </c>
      <c r="AD207" s="945">
        <f t="shared" si="218"/>
        <v>92895874</v>
      </c>
      <c r="AE207" s="945">
        <f t="shared" si="218"/>
        <v>2509180877</v>
      </c>
      <c r="AF207" s="945">
        <f t="shared" si="218"/>
        <v>1300000000</v>
      </c>
      <c r="AG207" s="945">
        <f t="shared" si="218"/>
        <v>102810569</v>
      </c>
      <c r="AH207" s="945">
        <f t="shared" si="218"/>
        <v>219471348</v>
      </c>
      <c r="AI207" s="945">
        <f t="shared" si="218"/>
        <v>1940856</v>
      </c>
      <c r="AJ207" s="945">
        <f t="shared" si="218"/>
        <v>3438802</v>
      </c>
      <c r="AK207" s="945">
        <f t="shared" si="218"/>
        <v>318664514</v>
      </c>
      <c r="AL207" s="945">
        <f t="shared" si="218"/>
        <v>4114878115</v>
      </c>
      <c r="AM207" s="945">
        <f t="shared" si="218"/>
        <v>1077016006</v>
      </c>
      <c r="AN207" s="945">
        <f t="shared" si="218"/>
        <v>1074256830</v>
      </c>
      <c r="AO207" s="945">
        <f t="shared" si="218"/>
        <v>999377331</v>
      </c>
      <c r="AP207" s="945">
        <f t="shared" si="218"/>
        <v>1181607989</v>
      </c>
      <c r="AQ207" s="945">
        <f t="shared" si="218"/>
        <v>80844085</v>
      </c>
      <c r="AR207" s="945">
        <f t="shared" si="218"/>
        <v>92524043</v>
      </c>
      <c r="AS207" s="945">
        <f t="shared" si="218"/>
        <v>1422702793</v>
      </c>
      <c r="AT207" s="945">
        <f t="shared" si="218"/>
        <v>0</v>
      </c>
      <c r="AU207" s="958">
        <f t="shared" si="205"/>
        <v>0.7948572974781607</v>
      </c>
      <c r="AV207" s="947">
        <f t="shared" ref="AV207:BP207" si="219">AV205+AV206</f>
        <v>19942248899</v>
      </c>
      <c r="AW207" s="947">
        <f t="shared" si="219"/>
        <v>103245422</v>
      </c>
      <c r="AX207" s="947">
        <f t="shared" si="219"/>
        <v>127311678</v>
      </c>
      <c r="AY207" s="947">
        <f t="shared" si="219"/>
        <v>364926534</v>
      </c>
      <c r="AZ207" s="947">
        <f t="shared" si="219"/>
        <v>7617755369</v>
      </c>
      <c r="BA207" s="947">
        <f t="shared" si="219"/>
        <v>90387830</v>
      </c>
      <c r="BB207" s="947">
        <f t="shared" si="219"/>
        <v>2155554199</v>
      </c>
      <c r="BC207" s="947">
        <f t="shared" si="219"/>
        <v>1164170675</v>
      </c>
      <c r="BD207" s="947">
        <f t="shared" si="219"/>
        <v>102810569</v>
      </c>
      <c r="BE207" s="947">
        <f t="shared" si="219"/>
        <v>219471348</v>
      </c>
      <c r="BF207" s="947">
        <f t="shared" si="219"/>
        <v>0</v>
      </c>
      <c r="BG207" s="947">
        <f t="shared" si="219"/>
        <v>0</v>
      </c>
      <c r="BH207" s="947">
        <f t="shared" si="219"/>
        <v>166126063</v>
      </c>
      <c r="BI207" s="947">
        <f t="shared" si="219"/>
        <v>2656492070</v>
      </c>
      <c r="BJ207" s="947">
        <f t="shared" si="219"/>
        <v>939954586</v>
      </c>
      <c r="BK207" s="947">
        <f t="shared" si="219"/>
        <v>821534672</v>
      </c>
      <c r="BL207" s="947">
        <f t="shared" si="219"/>
        <v>954787936</v>
      </c>
      <c r="BM207" s="947">
        <f t="shared" si="219"/>
        <v>1141064355</v>
      </c>
      <c r="BN207" s="947">
        <f t="shared" si="219"/>
        <v>80844085</v>
      </c>
      <c r="BO207" s="947">
        <f t="shared" si="219"/>
        <v>92524043</v>
      </c>
      <c r="BP207" s="947">
        <f t="shared" si="219"/>
        <v>1143287465</v>
      </c>
      <c r="BQ207" s="950">
        <f t="shared" si="207"/>
        <v>0.2051427025218393</v>
      </c>
      <c r="BR207" s="947">
        <f>BR205+BR206</f>
        <v>5146844404</v>
      </c>
      <c r="BS207" s="947">
        <f>BS205+BS206</f>
        <v>834047</v>
      </c>
      <c r="BT207" s="947">
        <f>BT205+BT206</f>
        <v>7221978</v>
      </c>
      <c r="BU207" s="947">
        <f>BU205+BU206</f>
        <v>31800000</v>
      </c>
      <c r="BV207" s="966">
        <f t="shared" ref="BV207:CL207" si="220">+BV205+BV206</f>
        <v>2244388243</v>
      </c>
      <c r="BW207" s="966">
        <f t="shared" si="220"/>
        <v>2508044</v>
      </c>
      <c r="BX207" s="966">
        <f t="shared" si="220"/>
        <v>353626678</v>
      </c>
      <c r="BY207" s="966">
        <f t="shared" si="220"/>
        <v>135829325</v>
      </c>
      <c r="BZ207" s="966">
        <f t="shared" si="220"/>
        <v>0</v>
      </c>
      <c r="CA207" s="966">
        <f t="shared" si="220"/>
        <v>0</v>
      </c>
      <c r="CB207" s="966">
        <f t="shared" si="220"/>
        <v>1940856</v>
      </c>
      <c r="CC207" s="966">
        <f t="shared" si="220"/>
        <v>3438802</v>
      </c>
      <c r="CD207" s="966">
        <f t="shared" si="220"/>
        <v>152538451</v>
      </c>
      <c r="CE207" s="966">
        <f t="shared" si="220"/>
        <v>1458386045</v>
      </c>
      <c r="CF207" s="966">
        <f t="shared" si="220"/>
        <v>137061420</v>
      </c>
      <c r="CG207" s="966">
        <f t="shared" si="220"/>
        <v>252722158</v>
      </c>
      <c r="CH207" s="966">
        <f t="shared" si="220"/>
        <v>44589395</v>
      </c>
      <c r="CI207" s="966">
        <f t="shared" si="220"/>
        <v>40543634</v>
      </c>
      <c r="CJ207" s="966">
        <f t="shared" si="220"/>
        <v>0</v>
      </c>
      <c r="CK207" s="966">
        <f t="shared" si="220"/>
        <v>0</v>
      </c>
      <c r="CL207" s="966">
        <f t="shared" si="220"/>
        <v>279415328</v>
      </c>
      <c r="CM207" s="960">
        <f t="shared" si="209"/>
        <v>0.57723018540762927</v>
      </c>
      <c r="CN207" s="1047">
        <f t="shared" ref="CN207:CS207" si="221">+CN205+CN206</f>
        <v>14482181979</v>
      </c>
      <c r="CO207" s="966">
        <f t="shared" si="221"/>
        <v>94013966</v>
      </c>
      <c r="CP207" s="966">
        <f t="shared" si="221"/>
        <v>127311678</v>
      </c>
      <c r="CQ207" s="966">
        <f t="shared" si="221"/>
        <v>364926534</v>
      </c>
      <c r="CR207" s="966">
        <f t="shared" si="221"/>
        <v>4707463138</v>
      </c>
      <c r="CS207" s="966">
        <f t="shared" si="221"/>
        <v>12550540</v>
      </c>
      <c r="CT207" s="945">
        <f t="shared" ref="CT207:DH207" si="222">SUM(CT205:CT206)</f>
        <v>1939216290</v>
      </c>
      <c r="CU207" s="945">
        <f t="shared" si="222"/>
        <v>1019225454</v>
      </c>
      <c r="CV207" s="945">
        <f t="shared" si="222"/>
        <v>102810569</v>
      </c>
      <c r="CW207" s="945">
        <f t="shared" si="222"/>
        <v>129471348</v>
      </c>
      <c r="CX207" s="945">
        <f t="shared" si="222"/>
        <v>0</v>
      </c>
      <c r="CY207" s="945">
        <f t="shared" si="222"/>
        <v>0</v>
      </c>
      <c r="CZ207" s="945">
        <f t="shared" si="222"/>
        <v>50855038</v>
      </c>
      <c r="DA207" s="945">
        <f t="shared" si="222"/>
        <v>1689569911</v>
      </c>
      <c r="DB207" s="945">
        <f t="shared" si="222"/>
        <v>833345661</v>
      </c>
      <c r="DC207" s="945">
        <f t="shared" si="222"/>
        <v>730796139</v>
      </c>
      <c r="DD207" s="945">
        <f t="shared" si="222"/>
        <v>659953051</v>
      </c>
      <c r="DE207" s="945">
        <f t="shared" si="222"/>
        <v>1082996639</v>
      </c>
      <c r="DF207" s="945">
        <f t="shared" si="222"/>
        <v>32548551</v>
      </c>
      <c r="DG207" s="945">
        <f t="shared" si="222"/>
        <v>0</v>
      </c>
      <c r="DH207" s="957">
        <f t="shared" si="222"/>
        <v>905127472</v>
      </c>
      <c r="DI207" s="1034">
        <f t="shared" si="211"/>
        <v>0.42276981459237073</v>
      </c>
      <c r="DJ207" s="945">
        <f t="shared" ref="DJ207:ED207" ca="1" si="223">SUM(DJ205:DJ206)</f>
        <v>10606911324</v>
      </c>
      <c r="DK207" s="1042">
        <f t="shared" si="223"/>
        <v>10065503</v>
      </c>
      <c r="DL207" s="957">
        <f t="shared" ca="1" si="223"/>
        <v>7221978</v>
      </c>
      <c r="DM207" s="957">
        <f t="shared" si="223"/>
        <v>31800000</v>
      </c>
      <c r="DN207" s="957">
        <f t="shared" si="223"/>
        <v>5154680474</v>
      </c>
      <c r="DO207" s="957">
        <f t="shared" si="223"/>
        <v>80345334</v>
      </c>
      <c r="DP207" s="945">
        <f t="shared" si="223"/>
        <v>569964587</v>
      </c>
      <c r="DQ207" s="945">
        <f t="shared" si="223"/>
        <v>280774546</v>
      </c>
      <c r="DR207" s="945">
        <f t="shared" si="223"/>
        <v>0</v>
      </c>
      <c r="DS207" s="145">
        <f t="shared" si="223"/>
        <v>90000000</v>
      </c>
      <c r="DT207" s="145">
        <f t="shared" si="223"/>
        <v>1940856</v>
      </c>
      <c r="DU207" s="145">
        <f t="shared" si="223"/>
        <v>3438802</v>
      </c>
      <c r="DV207" s="145">
        <f t="shared" si="223"/>
        <v>267809476</v>
      </c>
      <c r="DW207" s="145">
        <f t="shared" si="223"/>
        <v>2425308204</v>
      </c>
      <c r="DX207" s="145">
        <f t="shared" si="223"/>
        <v>243670345</v>
      </c>
      <c r="DY207" s="145">
        <f t="shared" si="223"/>
        <v>343460691</v>
      </c>
      <c r="DZ207" s="145">
        <f t="shared" si="223"/>
        <v>339424280</v>
      </c>
      <c r="EA207" s="145">
        <f t="shared" si="223"/>
        <v>98611350</v>
      </c>
      <c r="EB207" s="145">
        <f t="shared" si="223"/>
        <v>48295534</v>
      </c>
      <c r="EC207" s="145">
        <f t="shared" si="223"/>
        <v>92524043</v>
      </c>
      <c r="ED207" s="145">
        <f t="shared" si="223"/>
        <v>517575321</v>
      </c>
      <c r="EF207" s="998"/>
      <c r="EH207" s="1621"/>
      <c r="EI207" s="1620"/>
    </row>
    <row r="208" spans="1:140" ht="15.75" thickTop="1" x14ac:dyDescent="0.25">
      <c r="Y208" s="1"/>
      <c r="Z208" s="1"/>
      <c r="AA208" s="1"/>
      <c r="AB208" s="1"/>
      <c r="AC208" s="1"/>
      <c r="AD208" s="1"/>
      <c r="AE208" s="1"/>
      <c r="AF208" s="1"/>
      <c r="AG208" s="1"/>
      <c r="AH208" s="1"/>
      <c r="AI208" s="1"/>
      <c r="AJ208" s="1"/>
      <c r="AK208" s="1"/>
      <c r="AL208" s="1"/>
      <c r="AM208" s="1"/>
      <c r="AN208" s="1"/>
      <c r="AO208" s="1"/>
      <c r="AP208" s="1"/>
      <c r="AQ208" s="1"/>
      <c r="AR208" s="1"/>
      <c r="AS208" s="1"/>
      <c r="AV208" s="1"/>
      <c r="AW208" s="1"/>
      <c r="AX208" s="1"/>
      <c r="AY208" s="1"/>
      <c r="AZ208" s="1"/>
      <c r="BA208" s="1"/>
      <c r="BB208" s="1"/>
      <c r="BC208" s="1"/>
      <c r="BD208" s="1"/>
      <c r="BE208" s="1"/>
      <c r="BF208" s="1"/>
      <c r="BG208" s="1"/>
      <c r="BH208" s="1"/>
      <c r="BI208" s="1"/>
      <c r="BJ208" s="1"/>
      <c r="BK208" s="1"/>
      <c r="BL208" s="1"/>
      <c r="BM208" s="1"/>
      <c r="BN208" s="1"/>
      <c r="BO208" s="1"/>
      <c r="BP208" s="1"/>
      <c r="BR208" s="1"/>
      <c r="BS208" s="1"/>
      <c r="BT208" s="1"/>
      <c r="BU208" s="1"/>
      <c r="BV208" s="1"/>
      <c r="BW208" s="1"/>
      <c r="BX208" s="1"/>
      <c r="BY208" s="1"/>
      <c r="BZ208" s="1"/>
      <c r="CA208" s="1"/>
      <c r="CB208" s="1"/>
      <c r="CC208" s="1"/>
      <c r="CD208" s="1"/>
      <c r="CE208" s="1"/>
      <c r="CF208" s="1"/>
      <c r="CG208" s="1"/>
      <c r="CH208" s="1"/>
      <c r="CI208" s="1"/>
      <c r="CJ208" s="1"/>
      <c r="CK208" s="1"/>
      <c r="CL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F208" s="998"/>
      <c r="EH208" s="1621"/>
      <c r="EI208" s="1620"/>
    </row>
    <row r="209" spans="4:139" x14ac:dyDescent="0.25">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F209" s="998"/>
      <c r="EH209" s="1621"/>
      <c r="EI209" s="1620"/>
    </row>
    <row r="210" spans="4:139" x14ac:dyDescent="0.25">
      <c r="D210" s="1049"/>
      <c r="F210" s="1"/>
      <c r="G210" s="1"/>
      <c r="H210" s="1"/>
      <c r="I210" s="1"/>
      <c r="J210" s="1"/>
      <c r="K210" s="1"/>
      <c r="L210" s="1"/>
      <c r="M210" s="1"/>
      <c r="N210" s="1"/>
      <c r="O210" s="1"/>
      <c r="P210" s="1"/>
      <c r="Q210" s="1"/>
      <c r="R210" s="1"/>
      <c r="S210" s="1"/>
      <c r="T210" s="1"/>
      <c r="U210" s="1"/>
      <c r="V210" s="1"/>
      <c r="W210" s="1"/>
      <c r="X210" s="1"/>
      <c r="Y210" s="599"/>
      <c r="Z210" s="1"/>
      <c r="AA210" s="1"/>
      <c r="AB210" s="1"/>
      <c r="AC210" s="1"/>
      <c r="AD210" s="1"/>
      <c r="AE210" s="1"/>
      <c r="AF210" s="1"/>
      <c r="AG210" s="1"/>
      <c r="AH210" s="1"/>
      <c r="AI210" s="1"/>
      <c r="AJ210" s="1"/>
      <c r="AK210" s="1"/>
      <c r="AL210" s="1"/>
      <c r="AM210" s="1"/>
      <c r="AN210" s="1"/>
      <c r="AO210" s="1"/>
      <c r="AP210" s="1"/>
      <c r="AQ210" s="1"/>
      <c r="AR210" s="1"/>
      <c r="AS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N210" s="1"/>
      <c r="CO210" s="1"/>
      <c r="CP210" s="1"/>
      <c r="CQ210" s="1"/>
      <c r="CR210" s="1"/>
      <c r="CS210" s="1"/>
      <c r="CT210" s="1"/>
      <c r="CU210" s="1"/>
      <c r="CV210" s="1"/>
      <c r="CW210" s="1"/>
      <c r="CX210" s="1"/>
      <c r="CY210" s="1"/>
      <c r="CZ210" s="1"/>
      <c r="DA210" s="1"/>
      <c r="DB210" s="1"/>
      <c r="DC210" s="1"/>
      <c r="DD210" s="1"/>
      <c r="DE210" s="1"/>
      <c r="DF210" s="1"/>
      <c r="DG210" s="1"/>
      <c r="DH210" s="1"/>
      <c r="DJ210" s="1"/>
      <c r="DK210" s="1"/>
      <c r="DL210" s="1"/>
      <c r="DM210" s="1"/>
      <c r="DN210" s="1"/>
      <c r="DO210" s="1"/>
      <c r="DP210" s="1"/>
      <c r="DQ210" s="1"/>
      <c r="DR210" s="1"/>
      <c r="DS210" s="1"/>
      <c r="DT210" s="1"/>
      <c r="DU210" s="1"/>
      <c r="DV210" s="1"/>
      <c r="DW210" s="1"/>
      <c r="DX210" s="1"/>
      <c r="DY210" s="1"/>
      <c r="DZ210" s="1"/>
      <c r="EA210" s="1"/>
      <c r="EB210" s="1"/>
      <c r="EC210" s="1"/>
      <c r="ED210" s="1"/>
      <c r="EF210" s="998"/>
    </row>
    <row r="211" spans="4:139" x14ac:dyDescent="0.25">
      <c r="D211" s="495"/>
      <c r="Y211" s="597"/>
      <c r="Z211" s="1"/>
      <c r="AA211" s="1"/>
      <c r="AB211" s="1"/>
      <c r="AC211" s="1"/>
      <c r="AD211" s="1"/>
      <c r="AE211" s="964"/>
      <c r="AO211" s="1"/>
      <c r="AR211" s="1"/>
      <c r="AS211" s="1"/>
      <c r="AV211" s="1"/>
      <c r="AW211" s="1"/>
      <c r="AX211" s="1"/>
      <c r="AY211" s="1"/>
      <c r="BR211" s="1"/>
      <c r="CN211" s="1"/>
      <c r="CO211" s="1"/>
      <c r="DH211" s="1"/>
      <c r="DJ211" s="1"/>
      <c r="DK211" s="1"/>
    </row>
    <row r="212" spans="4:139" x14ac:dyDescent="0.25">
      <c r="D212" s="495"/>
      <c r="Y212" s="597"/>
      <c r="Z212" s="1"/>
      <c r="AA212" s="1"/>
      <c r="AB212" s="1"/>
      <c r="AC212" s="1"/>
      <c r="AD212" s="1"/>
      <c r="AS212" s="1"/>
      <c r="AV212" s="1"/>
      <c r="AW212" s="1"/>
      <c r="CN212" s="1"/>
      <c r="DH212" s="1"/>
      <c r="DJ212" s="1"/>
      <c r="DK212" s="1"/>
    </row>
    <row r="213" spans="4:139" x14ac:dyDescent="0.25">
      <c r="D213" s="495"/>
      <c r="Y213" s="597"/>
      <c r="AA213" s="1"/>
      <c r="AN213" s="1"/>
      <c r="AV213" s="1"/>
    </row>
    <row r="214" spans="4:139" x14ac:dyDescent="0.25">
      <c r="D214" s="495"/>
      <c r="Y214" s="597"/>
      <c r="AN214" s="1"/>
      <c r="AV214" s="1"/>
      <c r="CN214" s="1"/>
    </row>
    <row r="215" spans="4:139" ht="1.5" customHeight="1" x14ac:dyDescent="0.25">
      <c r="D215" s="495"/>
      <c r="Y215" s="597"/>
      <c r="AA215" s="1"/>
      <c r="AC215" s="1"/>
    </row>
    <row r="216" spans="4:139" x14ac:dyDescent="0.25">
      <c r="D216" s="495"/>
      <c r="Y216" s="597"/>
      <c r="AC216" s="1"/>
      <c r="EF216" s="998"/>
    </row>
    <row r="217" spans="4:139" x14ac:dyDescent="0.25">
      <c r="AA217" s="1"/>
      <c r="EF217" s="998"/>
    </row>
    <row r="218" spans="4:139" x14ac:dyDescent="0.25">
      <c r="EF218" s="998"/>
    </row>
    <row r="219" spans="4:139" x14ac:dyDescent="0.25">
      <c r="EF219" s="998"/>
    </row>
    <row r="220" spans="4:139" x14ac:dyDescent="0.25">
      <c r="EF220" s="998"/>
    </row>
    <row r="221" spans="4:139" x14ac:dyDescent="0.25">
      <c r="EF221" s="998"/>
    </row>
    <row r="222" spans="4:139" x14ac:dyDescent="0.25">
      <c r="EF222" s="998"/>
    </row>
  </sheetData>
  <mergeCells count="245">
    <mergeCell ref="DW1:DX2"/>
    <mergeCell ref="DY1:DZ2"/>
    <mergeCell ref="EA1:EB2"/>
    <mergeCell ref="EC1:ED2"/>
    <mergeCell ref="BO1:BP2"/>
    <mergeCell ref="BQ1:BR2"/>
    <mergeCell ref="CM1:CN2"/>
    <mergeCell ref="DI1:DJ2"/>
    <mergeCell ref="DK1:DL2"/>
    <mergeCell ref="DM1:DN2"/>
    <mergeCell ref="BC1:BD2"/>
    <mergeCell ref="BE1:BF2"/>
    <mergeCell ref="BG1:BH2"/>
    <mergeCell ref="BI1:BJ2"/>
    <mergeCell ref="BK1:BL2"/>
    <mergeCell ref="BM1:BN2"/>
    <mergeCell ref="AR1:AR3"/>
    <mergeCell ref="AS1:AS3"/>
    <mergeCell ref="AU1:AV2"/>
    <mergeCell ref="AW1:AX2"/>
    <mergeCell ref="AY1:AZ2"/>
    <mergeCell ref="BA1:BB2"/>
    <mergeCell ref="AL1:AL3"/>
    <mergeCell ref="AM1:AM3"/>
    <mergeCell ref="AN1:AN3"/>
    <mergeCell ref="AO1:AO3"/>
    <mergeCell ref="AP1:AP3"/>
    <mergeCell ref="AQ1:AQ3"/>
    <mergeCell ref="C207:D207"/>
    <mergeCell ref="Y1:Y3"/>
    <mergeCell ref="Z1:Z3"/>
    <mergeCell ref="AA1:AA3"/>
    <mergeCell ref="AB1:AB3"/>
    <mergeCell ref="AC1:AC3"/>
    <mergeCell ref="G192:G193"/>
    <mergeCell ref="J192:J193"/>
    <mergeCell ref="K192:K193"/>
    <mergeCell ref="L192:L193"/>
    <mergeCell ref="B195:D195"/>
    <mergeCell ref="C197:E197"/>
    <mergeCell ref="G186:G190"/>
    <mergeCell ref="J187:J188"/>
    <mergeCell ref="K187:K188"/>
    <mergeCell ref="L187:L188"/>
    <mergeCell ref="J189:J190"/>
    <mergeCell ref="K189:K190"/>
    <mergeCell ref="L189:L190"/>
    <mergeCell ref="J173:J176"/>
    <mergeCell ref="K173:K176"/>
    <mergeCell ref="L173:L176"/>
    <mergeCell ref="G177:G184"/>
    <mergeCell ref="J177:J184"/>
    <mergeCell ref="K177:K184"/>
    <mergeCell ref="L177:L184"/>
    <mergeCell ref="J167:J169"/>
    <mergeCell ref="K167:K169"/>
    <mergeCell ref="L167:L169"/>
    <mergeCell ref="J170:J172"/>
    <mergeCell ref="K170:K172"/>
    <mergeCell ref="L170:L172"/>
    <mergeCell ref="J161:J163"/>
    <mergeCell ref="K161:K163"/>
    <mergeCell ref="L161:L163"/>
    <mergeCell ref="J164:J166"/>
    <mergeCell ref="K164:K166"/>
    <mergeCell ref="L164:L166"/>
    <mergeCell ref="J155:J157"/>
    <mergeCell ref="K155:K157"/>
    <mergeCell ref="L155:L157"/>
    <mergeCell ref="J158:J160"/>
    <mergeCell ref="K158:K160"/>
    <mergeCell ref="L158:L160"/>
    <mergeCell ref="J150:J151"/>
    <mergeCell ref="K150:K151"/>
    <mergeCell ref="L150:L151"/>
    <mergeCell ref="J152:J154"/>
    <mergeCell ref="K152:K154"/>
    <mergeCell ref="L152:L154"/>
    <mergeCell ref="J145:J147"/>
    <mergeCell ref="K145:K147"/>
    <mergeCell ref="L145:L147"/>
    <mergeCell ref="J148:J149"/>
    <mergeCell ref="K148:K149"/>
    <mergeCell ref="L148:L149"/>
    <mergeCell ref="J141:J142"/>
    <mergeCell ref="K141:K142"/>
    <mergeCell ref="L141:L142"/>
    <mergeCell ref="J143:J144"/>
    <mergeCell ref="K143:K144"/>
    <mergeCell ref="L143:L144"/>
    <mergeCell ref="M124:M125"/>
    <mergeCell ref="O124:O125"/>
    <mergeCell ref="P124:P125"/>
    <mergeCell ref="B129:F129"/>
    <mergeCell ref="A130:A194"/>
    <mergeCell ref="G130:G131"/>
    <mergeCell ref="G132:G176"/>
    <mergeCell ref="J139:J140"/>
    <mergeCell ref="K139:K140"/>
    <mergeCell ref="L139:L140"/>
    <mergeCell ref="M115:M117"/>
    <mergeCell ref="P115:P117"/>
    <mergeCell ref="M118:M121"/>
    <mergeCell ref="P118:P121"/>
    <mergeCell ref="M122:M123"/>
    <mergeCell ref="P122:P123"/>
    <mergeCell ref="K107:K108"/>
    <mergeCell ref="L107:L108"/>
    <mergeCell ref="J111:J112"/>
    <mergeCell ref="K111:K112"/>
    <mergeCell ref="L111:L112"/>
    <mergeCell ref="J113:J114"/>
    <mergeCell ref="K113:K114"/>
    <mergeCell ref="L113:L114"/>
    <mergeCell ref="G99:G100"/>
    <mergeCell ref="G101:G103"/>
    <mergeCell ref="B104:F104"/>
    <mergeCell ref="A106:A128"/>
    <mergeCell ref="G106:G114"/>
    <mergeCell ref="J107:J108"/>
    <mergeCell ref="E115:E117"/>
    <mergeCell ref="F115:F117"/>
    <mergeCell ref="G124:G127"/>
    <mergeCell ref="G93:G94"/>
    <mergeCell ref="G95:G98"/>
    <mergeCell ref="J97:J98"/>
    <mergeCell ref="K97:K98"/>
    <mergeCell ref="L97:L98"/>
    <mergeCell ref="B99:B100"/>
    <mergeCell ref="C99:C100"/>
    <mergeCell ref="D99:D100"/>
    <mergeCell ref="E99:E100"/>
    <mergeCell ref="F99:F100"/>
    <mergeCell ref="J87:J88"/>
    <mergeCell ref="K87:K88"/>
    <mergeCell ref="L87:L88"/>
    <mergeCell ref="G89:G92"/>
    <mergeCell ref="J89:J92"/>
    <mergeCell ref="K89:K92"/>
    <mergeCell ref="L89:L92"/>
    <mergeCell ref="J83:J84"/>
    <mergeCell ref="K83:K84"/>
    <mergeCell ref="L83:L84"/>
    <mergeCell ref="J85:J86"/>
    <mergeCell ref="K85:K86"/>
    <mergeCell ref="L85:L86"/>
    <mergeCell ref="J74:J76"/>
    <mergeCell ref="K74:K76"/>
    <mergeCell ref="L74:L76"/>
    <mergeCell ref="G77:G88"/>
    <mergeCell ref="J77:J78"/>
    <mergeCell ref="K77:K78"/>
    <mergeCell ref="L77:L78"/>
    <mergeCell ref="J81:J82"/>
    <mergeCell ref="K81:K82"/>
    <mergeCell ref="L81:L82"/>
    <mergeCell ref="B67:E67"/>
    <mergeCell ref="A68:A103"/>
    <mergeCell ref="G68:G73"/>
    <mergeCell ref="J69:J70"/>
    <mergeCell ref="K69:K70"/>
    <mergeCell ref="L69:L70"/>
    <mergeCell ref="J72:J73"/>
    <mergeCell ref="K72:K73"/>
    <mergeCell ref="L72:L73"/>
    <mergeCell ref="G74:G76"/>
    <mergeCell ref="J63:J64"/>
    <mergeCell ref="K63:K64"/>
    <mergeCell ref="L63:L64"/>
    <mergeCell ref="J65:J66"/>
    <mergeCell ref="K65:K66"/>
    <mergeCell ref="L65:L66"/>
    <mergeCell ref="J54:J55"/>
    <mergeCell ref="K54:K55"/>
    <mergeCell ref="L54:L55"/>
    <mergeCell ref="G56:G57"/>
    <mergeCell ref="G58:G59"/>
    <mergeCell ref="J58:J59"/>
    <mergeCell ref="K58:K59"/>
    <mergeCell ref="L58:L59"/>
    <mergeCell ref="J48:J49"/>
    <mergeCell ref="K48:K49"/>
    <mergeCell ref="L48:L49"/>
    <mergeCell ref="J50:J52"/>
    <mergeCell ref="K50:K52"/>
    <mergeCell ref="L50:L52"/>
    <mergeCell ref="B34:E34"/>
    <mergeCell ref="A35:A66"/>
    <mergeCell ref="G35:G37"/>
    <mergeCell ref="G38:G43"/>
    <mergeCell ref="G44:G47"/>
    <mergeCell ref="G48:G52"/>
    <mergeCell ref="G53:G55"/>
    <mergeCell ref="G61:G66"/>
    <mergeCell ref="G27:G29"/>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A4:A33"/>
    <mergeCell ref="G4:G9"/>
    <mergeCell ref="J4:J9"/>
    <mergeCell ref="K4:K9"/>
    <mergeCell ref="L4:L9"/>
    <mergeCell ref="G10:G16"/>
    <mergeCell ref="J10:J16"/>
    <mergeCell ref="K10:K16"/>
    <mergeCell ref="L10:L16"/>
    <mergeCell ref="G17:G21"/>
    <mergeCell ref="DO1:DP2"/>
    <mergeCell ref="DQ1:DR2"/>
    <mergeCell ref="DS1:DT2"/>
    <mergeCell ref="DU1:DV2"/>
    <mergeCell ref="M2:O2"/>
    <mergeCell ref="P2:R2"/>
    <mergeCell ref="S2:U2"/>
    <mergeCell ref="V2:X2"/>
    <mergeCell ref="AD1:AD3"/>
    <mergeCell ref="AE1:AE3"/>
    <mergeCell ref="AF1:AF3"/>
    <mergeCell ref="AG1:AG3"/>
    <mergeCell ref="A2:A3"/>
    <mergeCell ref="B2:B3"/>
    <mergeCell ref="C2:C3"/>
    <mergeCell ref="D2:D3"/>
    <mergeCell ref="E2:E3"/>
    <mergeCell ref="F2:F3"/>
    <mergeCell ref="C1:F1"/>
    <mergeCell ref="AH1:AH3"/>
    <mergeCell ref="AI1:AI3"/>
    <mergeCell ref="AJ1:AJ3"/>
    <mergeCell ref="AK1:AK3"/>
  </mergeCells>
  <conditionalFormatting sqref="AU174:AU175">
    <cfRule type="containsErrors" dxfId="31" priority="18">
      <formula>ISERROR(AU174)</formula>
    </cfRule>
  </conditionalFormatting>
  <conditionalFormatting sqref="BQ174:BQ175">
    <cfRule type="containsErrors" dxfId="30" priority="17">
      <formula>ISERROR(BQ174)</formula>
    </cfRule>
  </conditionalFormatting>
  <conditionalFormatting sqref="CM174:CM175">
    <cfRule type="containsErrors" dxfId="29" priority="16">
      <formula>ISERROR(CM174)</formula>
    </cfRule>
  </conditionalFormatting>
  <conditionalFormatting sqref="BQ166">
    <cfRule type="containsErrors" dxfId="28" priority="1">
      <formula>ISERROR(BQ166)</formula>
    </cfRule>
  </conditionalFormatting>
  <conditionalFormatting sqref="CM176">
    <cfRule type="containsErrors" dxfId="27" priority="15">
      <formula>ISERROR(CM176)</formula>
    </cfRule>
  </conditionalFormatting>
  <conditionalFormatting sqref="DI174:DI175">
    <cfRule type="containsErrors" dxfId="26" priority="14">
      <formula>ISERROR(DI174)</formula>
    </cfRule>
  </conditionalFormatting>
  <conditionalFormatting sqref="CM166 CO166:DI166">
    <cfRule type="containsErrors" dxfId="25" priority="11">
      <formula>ISERROR(CM166)</formula>
    </cfRule>
  </conditionalFormatting>
  <conditionalFormatting sqref="AU180">
    <cfRule type="containsErrors" dxfId="24" priority="10">
      <formula>ISERROR(AU180)</formula>
    </cfRule>
  </conditionalFormatting>
  <conditionalFormatting sqref="AU181">
    <cfRule type="containsErrors" dxfId="23" priority="9">
      <formula>ISERROR(AU181)</formula>
    </cfRule>
  </conditionalFormatting>
  <conditionalFormatting sqref="BQ180:BQ181">
    <cfRule type="containsErrors" dxfId="22" priority="8">
      <formula>ISERROR(BQ180)</formula>
    </cfRule>
  </conditionalFormatting>
  <conditionalFormatting sqref="CM180:CM181">
    <cfRule type="containsErrors" dxfId="21" priority="7">
      <formula>ISERROR(CM180)</formula>
    </cfRule>
  </conditionalFormatting>
  <conditionalFormatting sqref="DI180:DI181">
    <cfRule type="containsErrors" dxfId="20" priority="6">
      <formula>ISERROR(DI180)</formula>
    </cfRule>
  </conditionalFormatting>
  <conditionalFormatting sqref="AU184">
    <cfRule type="containsErrors" dxfId="19" priority="5">
      <formula>ISERROR(AU184)</formula>
    </cfRule>
  </conditionalFormatting>
  <conditionalFormatting sqref="BQ184">
    <cfRule type="containsErrors" dxfId="18" priority="4">
      <formula>ISERROR(BQ184)</formula>
    </cfRule>
  </conditionalFormatting>
  <conditionalFormatting sqref="CM184">
    <cfRule type="containsErrors" dxfId="17" priority="3">
      <formula>ISERROR(CM184)</formula>
    </cfRule>
  </conditionalFormatting>
  <conditionalFormatting sqref="DI184">
    <cfRule type="containsErrors" dxfId="16" priority="2">
      <formula>ISERROR(DI184)</formula>
    </cfRule>
  </conditionalFormatting>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OCTUBRE  2015
 RESOLUCION  221 DEL 20 DE OCTUBRE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J274"/>
  <sheetViews>
    <sheetView topLeftCell="C1" zoomScaleNormal="100" zoomScalePageLayoutView="50" workbookViewId="0">
      <pane xSplit="1" ySplit="3" topLeftCell="D4" activePane="bottomRight" state="frozen"/>
      <selection activeCell="C1" sqref="C1"/>
      <selection pane="topRight" activeCell="D1" sqref="D1"/>
      <selection pane="bottomLeft" activeCell="C4" sqref="C4"/>
      <selection pane="bottomRight" activeCell="DI212" sqref="DI212"/>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13.57031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1.85546875" customWidth="1"/>
    <col min="48" max="48" width="14.4257812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9.5703125" customWidth="1"/>
    <col min="70" max="70" width="14.285156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9" customWidth="1"/>
    <col min="92" max="92" width="14"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9.710937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6" width="11.42578125" customWidth="1"/>
    <col min="138" max="138" width="13.5703125" customWidth="1"/>
    <col min="139" max="139" width="13.42578125" customWidth="1"/>
  </cols>
  <sheetData>
    <row r="1" spans="1:134" ht="18" customHeight="1" x14ac:dyDescent="0.3">
      <c r="C1" s="1420"/>
      <c r="D1" s="1421"/>
      <c r="E1" s="1421"/>
      <c r="F1" s="1422"/>
      <c r="G1" s="1123"/>
      <c r="H1" s="1123"/>
      <c r="I1" s="1123"/>
      <c r="J1" s="1123"/>
      <c r="K1" s="1123"/>
      <c r="L1" s="1123"/>
      <c r="M1" s="1073"/>
      <c r="N1" s="1073"/>
      <c r="O1" s="1073"/>
      <c r="P1" s="1123"/>
      <c r="Q1" s="1123"/>
      <c r="R1" s="1123"/>
      <c r="S1" s="1123"/>
      <c r="T1" s="1123"/>
      <c r="U1" s="1123"/>
      <c r="V1" s="1123"/>
      <c r="W1" s="1123"/>
      <c r="X1" s="1123"/>
      <c r="Y1" s="1598" t="s">
        <v>3333</v>
      </c>
      <c r="Z1" s="1598" t="s">
        <v>3333</v>
      </c>
      <c r="AA1" s="1598" t="s">
        <v>3333</v>
      </c>
      <c r="AB1" s="1598" t="s">
        <v>3333</v>
      </c>
      <c r="AC1" s="1598" t="s">
        <v>3333</v>
      </c>
      <c r="AD1" s="1598" t="s">
        <v>3333</v>
      </c>
      <c r="AE1" s="1598" t="s">
        <v>3333</v>
      </c>
      <c r="AF1" s="1598" t="s">
        <v>3333</v>
      </c>
      <c r="AG1" s="1598" t="s">
        <v>3333</v>
      </c>
      <c r="AH1" s="1598" t="s">
        <v>3333</v>
      </c>
      <c r="AI1" s="1598" t="s">
        <v>3333</v>
      </c>
      <c r="AJ1" s="1598" t="s">
        <v>3333</v>
      </c>
      <c r="AK1" s="1598" t="s">
        <v>3333</v>
      </c>
      <c r="AL1" s="1598" t="s">
        <v>3333</v>
      </c>
      <c r="AM1" s="1598" t="s">
        <v>3333</v>
      </c>
      <c r="AN1" s="1598" t="s">
        <v>3333</v>
      </c>
      <c r="AO1" s="1598" t="s">
        <v>3333</v>
      </c>
      <c r="AP1" s="1598" t="s">
        <v>3333</v>
      </c>
      <c r="AQ1" s="1598" t="s">
        <v>3333</v>
      </c>
      <c r="AR1" s="1598" t="s">
        <v>3333</v>
      </c>
      <c r="AS1" s="1598" t="s">
        <v>3333</v>
      </c>
      <c r="AU1" s="1601" t="s">
        <v>4976</v>
      </c>
      <c r="AV1" s="1601"/>
      <c r="AW1" s="1601" t="s">
        <v>4976</v>
      </c>
      <c r="AX1" s="1601"/>
      <c r="AY1" s="1601" t="s">
        <v>4976</v>
      </c>
      <c r="AZ1" s="1601"/>
      <c r="BA1" s="1601" t="s">
        <v>4976</v>
      </c>
      <c r="BB1" s="1601"/>
      <c r="BC1" s="1601" t="s">
        <v>4976</v>
      </c>
      <c r="BD1" s="1601"/>
      <c r="BE1" s="1601" t="s">
        <v>4976</v>
      </c>
      <c r="BF1" s="1601"/>
      <c r="BG1" s="1601" t="s">
        <v>4976</v>
      </c>
      <c r="BH1" s="1601"/>
      <c r="BI1" s="1601" t="s">
        <v>4976</v>
      </c>
      <c r="BJ1" s="1601"/>
      <c r="BK1" s="1601" t="s">
        <v>4976</v>
      </c>
      <c r="BL1" s="1601"/>
      <c r="BM1" s="1601" t="s">
        <v>4976</v>
      </c>
      <c r="BN1" s="1601"/>
      <c r="BO1" s="1601" t="s">
        <v>4976</v>
      </c>
      <c r="BP1" s="1601"/>
      <c r="BQ1" s="1603" t="s">
        <v>4977</v>
      </c>
      <c r="BR1" s="1604"/>
      <c r="BS1" s="1014"/>
      <c r="BT1" s="1608" t="s">
        <v>3400</v>
      </c>
      <c r="BU1" s="1609"/>
      <c r="BV1" s="1609"/>
      <c r="BW1" s="1609"/>
      <c r="BX1" s="1609"/>
      <c r="BY1" s="1609"/>
      <c r="BZ1" s="1609"/>
      <c r="CA1" s="1609"/>
      <c r="CB1" s="1609"/>
      <c r="CC1" s="1609"/>
      <c r="CD1" s="1609"/>
      <c r="CE1" s="1609"/>
      <c r="CF1" s="1609"/>
      <c r="CG1" s="1609"/>
      <c r="CH1" s="1609"/>
      <c r="CI1" s="1609"/>
      <c r="CJ1" s="1609"/>
      <c r="CK1" s="1609"/>
      <c r="CL1" s="1609"/>
      <c r="CM1" s="1601" t="s">
        <v>4978</v>
      </c>
      <c r="CN1" s="1601"/>
      <c r="CO1" s="1609"/>
      <c r="CP1" s="1609"/>
      <c r="CQ1" s="1609"/>
      <c r="CR1" s="1609"/>
      <c r="CS1" s="1609"/>
      <c r="CT1" s="1609"/>
      <c r="CU1" s="1609"/>
      <c r="CV1" s="1609"/>
      <c r="CW1" s="1609"/>
      <c r="CX1" s="1609"/>
      <c r="CY1" s="1609"/>
      <c r="CZ1" s="1609"/>
      <c r="DA1" s="1609"/>
      <c r="DB1" s="1609"/>
      <c r="DC1" s="1609"/>
      <c r="DD1" s="1609"/>
      <c r="DE1" s="1609"/>
      <c r="DF1" s="1609"/>
      <c r="DG1" s="1609"/>
      <c r="DH1" s="1610"/>
      <c r="DI1" s="1615" t="s">
        <v>4979</v>
      </c>
      <c r="DJ1" s="1616"/>
      <c r="DK1" s="1615" t="s">
        <v>4979</v>
      </c>
      <c r="DL1" s="1616"/>
      <c r="DM1" s="1615" t="s">
        <v>4979</v>
      </c>
      <c r="DN1" s="1616"/>
      <c r="DO1" s="1615" t="s">
        <v>4979</v>
      </c>
      <c r="DP1" s="1616"/>
      <c r="DQ1" s="1615" t="s">
        <v>4979</v>
      </c>
      <c r="DR1" s="1616"/>
      <c r="DS1" s="1615" t="s">
        <v>4979</v>
      </c>
      <c r="DT1" s="1616"/>
      <c r="DU1" s="1615" t="s">
        <v>4979</v>
      </c>
      <c r="DV1" s="1616"/>
      <c r="DW1" s="1615" t="s">
        <v>4979</v>
      </c>
      <c r="DX1" s="1616"/>
      <c r="DY1" s="1615" t="s">
        <v>4979</v>
      </c>
      <c r="DZ1" s="1616"/>
      <c r="EA1" s="1615" t="s">
        <v>4979</v>
      </c>
      <c r="EB1" s="1616"/>
      <c r="EC1" s="1615" t="s">
        <v>4979</v>
      </c>
      <c r="ED1" s="1616"/>
    </row>
    <row r="2" spans="1:134" ht="15.6" customHeight="1" x14ac:dyDescent="0.25">
      <c r="A2" s="1568" t="s">
        <v>4747</v>
      </c>
      <c r="B2" s="1566" t="s">
        <v>3139</v>
      </c>
      <c r="C2" s="1569" t="s">
        <v>1</v>
      </c>
      <c r="D2" s="1568" t="s">
        <v>4174</v>
      </c>
      <c r="E2" s="1571" t="s">
        <v>447</v>
      </c>
      <c r="F2" s="1566" t="s">
        <v>3347</v>
      </c>
      <c r="G2" s="1062"/>
      <c r="H2" s="1062"/>
      <c r="I2" s="1062"/>
      <c r="J2" s="1062"/>
      <c r="K2" s="1062"/>
      <c r="L2" s="1062"/>
      <c r="M2" s="1574" t="s">
        <v>4821</v>
      </c>
      <c r="N2" s="1574"/>
      <c r="O2" s="1574"/>
      <c r="P2" s="1574" t="s">
        <v>4822</v>
      </c>
      <c r="Q2" s="1574"/>
      <c r="R2" s="1574"/>
      <c r="S2" s="1574" t="s">
        <v>4823</v>
      </c>
      <c r="T2" s="1574"/>
      <c r="U2" s="1574"/>
      <c r="V2" s="1574" t="s">
        <v>4824</v>
      </c>
      <c r="W2" s="1574"/>
      <c r="X2" s="1574"/>
      <c r="Y2" s="1599"/>
      <c r="Z2" s="1599"/>
      <c r="AA2" s="1599"/>
      <c r="AB2" s="1599"/>
      <c r="AC2" s="1599"/>
      <c r="AD2" s="1599"/>
      <c r="AE2" s="1599"/>
      <c r="AF2" s="1599"/>
      <c r="AG2" s="1599"/>
      <c r="AH2" s="1599"/>
      <c r="AI2" s="1599"/>
      <c r="AJ2" s="1599"/>
      <c r="AK2" s="1599"/>
      <c r="AL2" s="1599"/>
      <c r="AM2" s="1599"/>
      <c r="AN2" s="1599"/>
      <c r="AO2" s="1599"/>
      <c r="AP2" s="1599"/>
      <c r="AQ2" s="1599"/>
      <c r="AR2" s="1599"/>
      <c r="AS2" s="1599"/>
      <c r="AU2" s="1601"/>
      <c r="AV2" s="1601"/>
      <c r="AW2" s="1601"/>
      <c r="AX2" s="1601"/>
      <c r="AY2" s="1601"/>
      <c r="AZ2" s="1601"/>
      <c r="BA2" s="1601"/>
      <c r="BB2" s="1601"/>
      <c r="BC2" s="1601"/>
      <c r="BD2" s="1601"/>
      <c r="BE2" s="1601"/>
      <c r="BF2" s="1601"/>
      <c r="BG2" s="1601"/>
      <c r="BH2" s="1601"/>
      <c r="BI2" s="1601"/>
      <c r="BJ2" s="1601"/>
      <c r="BK2" s="1601"/>
      <c r="BL2" s="1601"/>
      <c r="BM2" s="1601"/>
      <c r="BN2" s="1601"/>
      <c r="BO2" s="1601"/>
      <c r="BP2" s="1601"/>
      <c r="BQ2" s="1605"/>
      <c r="BR2" s="1606"/>
      <c r="BS2" s="1015"/>
      <c r="BT2" s="1015" t="s">
        <v>3402</v>
      </c>
      <c r="BU2" s="1611"/>
      <c r="BV2" s="1611"/>
      <c r="BW2" s="1611"/>
      <c r="BX2" s="1611"/>
      <c r="BY2" s="1611"/>
      <c r="BZ2" s="1611"/>
      <c r="CA2" s="1611"/>
      <c r="CB2" s="1611"/>
      <c r="CC2" s="1612"/>
      <c r="CD2" s="1015" t="s">
        <v>3402</v>
      </c>
      <c r="CE2" s="1611"/>
      <c r="CF2" s="1611"/>
      <c r="CG2" s="1611"/>
      <c r="CH2" s="1611"/>
      <c r="CI2" s="1611"/>
      <c r="CJ2" s="1611"/>
      <c r="CK2" s="1611"/>
      <c r="CL2" s="1612"/>
      <c r="CM2" s="1601"/>
      <c r="CN2" s="1601"/>
      <c r="CO2" s="1016"/>
      <c r="CP2" s="1613" t="s">
        <v>3401</v>
      </c>
      <c r="CQ2" s="967"/>
      <c r="CR2" s="967"/>
      <c r="CS2" s="967"/>
      <c r="CT2" s="967"/>
      <c r="CU2" s="967"/>
      <c r="CV2" s="967"/>
      <c r="CW2" s="967"/>
      <c r="CX2" s="967"/>
      <c r="CY2" s="967"/>
      <c r="CZ2" s="967"/>
      <c r="DA2" s="967"/>
      <c r="DB2" s="1613" t="s">
        <v>3401</v>
      </c>
      <c r="DC2" s="967"/>
      <c r="DD2" s="967"/>
      <c r="DE2" s="967"/>
      <c r="DF2" s="967"/>
      <c r="DG2" s="967"/>
      <c r="DH2" s="1614"/>
      <c r="DI2" s="1617"/>
      <c r="DJ2" s="1618"/>
      <c r="DK2" s="1617"/>
      <c r="DL2" s="1618"/>
      <c r="DM2" s="1617"/>
      <c r="DN2" s="1618"/>
      <c r="DO2" s="1617"/>
      <c r="DP2" s="1618"/>
      <c r="DQ2" s="1617"/>
      <c r="DR2" s="1618"/>
      <c r="DS2" s="1617"/>
      <c r="DT2" s="1618"/>
      <c r="DU2" s="1617"/>
      <c r="DV2" s="1618"/>
      <c r="DW2" s="1617"/>
      <c r="DX2" s="1618"/>
      <c r="DY2" s="1617"/>
      <c r="DZ2" s="1618"/>
      <c r="EA2" s="1617"/>
      <c r="EB2" s="1618"/>
      <c r="EC2" s="1617"/>
      <c r="ED2" s="1618"/>
    </row>
    <row r="3" spans="1:134" ht="43.5" customHeight="1" x14ac:dyDescent="0.25">
      <c r="A3" s="1568"/>
      <c r="B3" s="1567"/>
      <c r="C3" s="1570"/>
      <c r="D3" s="1568"/>
      <c r="E3" s="1572"/>
      <c r="F3" s="1567"/>
      <c r="G3" s="1063" t="s">
        <v>4761</v>
      </c>
      <c r="H3" s="1063" t="s">
        <v>3401</v>
      </c>
      <c r="I3" s="1063" t="s">
        <v>4748</v>
      </c>
      <c r="J3" s="1063" t="s">
        <v>4749</v>
      </c>
      <c r="K3" s="1136" t="s">
        <v>4754</v>
      </c>
      <c r="L3" s="1136" t="s">
        <v>4750</v>
      </c>
      <c r="M3" s="1136" t="s">
        <v>4045</v>
      </c>
      <c r="N3" s="1136" t="s">
        <v>4048</v>
      </c>
      <c r="O3" s="1136" t="s">
        <v>4050</v>
      </c>
      <c r="P3" s="1136" t="s">
        <v>4045</v>
      </c>
      <c r="Q3" s="1136" t="s">
        <v>4048</v>
      </c>
      <c r="R3" s="1136" t="s">
        <v>4050</v>
      </c>
      <c r="S3" s="1063" t="s">
        <v>4045</v>
      </c>
      <c r="T3" s="1063" t="s">
        <v>4048</v>
      </c>
      <c r="U3" s="1063" t="s">
        <v>4050</v>
      </c>
      <c r="V3" s="1063" t="s">
        <v>4045</v>
      </c>
      <c r="W3" s="1063" t="s">
        <v>4048</v>
      </c>
      <c r="X3" s="1063" t="s">
        <v>4050</v>
      </c>
      <c r="Y3" s="1600"/>
      <c r="Z3" s="1600"/>
      <c r="AA3" s="1600"/>
      <c r="AB3" s="1600"/>
      <c r="AC3" s="1600"/>
      <c r="AD3" s="1600"/>
      <c r="AE3" s="1600"/>
      <c r="AF3" s="1600"/>
      <c r="AG3" s="1600"/>
      <c r="AH3" s="1600"/>
      <c r="AI3" s="1600"/>
      <c r="AJ3" s="1600"/>
      <c r="AK3" s="1600"/>
      <c r="AL3" s="1600"/>
      <c r="AM3" s="1600"/>
      <c r="AN3" s="1600"/>
      <c r="AO3" s="1600"/>
      <c r="AP3" s="1600"/>
      <c r="AQ3" s="1600"/>
      <c r="AR3" s="1600"/>
      <c r="AS3" s="1600"/>
      <c r="AU3" s="1602" t="s">
        <v>4293</v>
      </c>
      <c r="AV3" s="1602" t="s">
        <v>433</v>
      </c>
      <c r="AW3" s="1602" t="s">
        <v>4293</v>
      </c>
      <c r="AX3" s="1602" t="s">
        <v>433</v>
      </c>
      <c r="AY3" s="1602" t="s">
        <v>4293</v>
      </c>
      <c r="AZ3" s="1602" t="s">
        <v>433</v>
      </c>
      <c r="BA3" s="1602" t="s">
        <v>4293</v>
      </c>
      <c r="BB3" s="1602" t="s">
        <v>433</v>
      </c>
      <c r="BC3" s="1602" t="s">
        <v>4293</v>
      </c>
      <c r="BD3" s="1602" t="s">
        <v>433</v>
      </c>
      <c r="BE3" s="1602" t="s">
        <v>4293</v>
      </c>
      <c r="BF3" s="1602" t="s">
        <v>433</v>
      </c>
      <c r="BG3" s="1602" t="s">
        <v>4293</v>
      </c>
      <c r="BH3" s="1602" t="s">
        <v>433</v>
      </c>
      <c r="BI3" s="1602" t="s">
        <v>4293</v>
      </c>
      <c r="BJ3" s="1602" t="s">
        <v>433</v>
      </c>
      <c r="BK3" s="1602" t="s">
        <v>4293</v>
      </c>
      <c r="BL3" s="1602" t="s">
        <v>433</v>
      </c>
      <c r="BM3" s="1602" t="s">
        <v>4293</v>
      </c>
      <c r="BN3" s="1602" t="s">
        <v>433</v>
      </c>
      <c r="BO3" s="1602" t="s">
        <v>4293</v>
      </c>
      <c r="BP3" s="1602" t="s">
        <v>433</v>
      </c>
      <c r="BQ3" s="1607" t="s">
        <v>4293</v>
      </c>
      <c r="BR3" s="1607" t="s">
        <v>433</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v>
      </c>
      <c r="CI3" s="982" t="s">
        <v>3318</v>
      </c>
      <c r="CJ3" s="982" t="s">
        <v>4707</v>
      </c>
      <c r="CK3" s="982" t="s">
        <v>4294</v>
      </c>
      <c r="CL3" s="982" t="s">
        <v>3319</v>
      </c>
      <c r="CM3" s="1602" t="s">
        <v>4293</v>
      </c>
      <c r="CN3" s="1602" t="s">
        <v>433</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v>
      </c>
      <c r="DE3" s="965" t="s">
        <v>3318</v>
      </c>
      <c r="DF3" s="965" t="s">
        <v>4707</v>
      </c>
      <c r="DG3" s="965" t="s">
        <v>4294</v>
      </c>
      <c r="DH3" s="965" t="s">
        <v>3319</v>
      </c>
      <c r="DI3" s="1607" t="s">
        <v>4293</v>
      </c>
      <c r="DJ3" s="1607" t="s">
        <v>433</v>
      </c>
      <c r="DK3" s="1607" t="s">
        <v>4293</v>
      </c>
      <c r="DL3" s="1607" t="s">
        <v>433</v>
      </c>
      <c r="DM3" s="1607" t="s">
        <v>4293</v>
      </c>
      <c r="DN3" s="1607" t="s">
        <v>433</v>
      </c>
      <c r="DO3" s="1607" t="s">
        <v>4293</v>
      </c>
      <c r="DP3" s="1607" t="s">
        <v>433</v>
      </c>
      <c r="DQ3" s="1607" t="s">
        <v>4293</v>
      </c>
      <c r="DR3" s="1607" t="s">
        <v>433</v>
      </c>
      <c r="DS3" s="1607" t="s">
        <v>4293</v>
      </c>
      <c r="DT3" s="1607" t="s">
        <v>433</v>
      </c>
      <c r="DU3" s="1607" t="s">
        <v>4293</v>
      </c>
      <c r="DV3" s="1607" t="s">
        <v>433</v>
      </c>
      <c r="DW3" s="1607" t="s">
        <v>4293</v>
      </c>
      <c r="DX3" s="1607" t="s">
        <v>433</v>
      </c>
      <c r="DY3" s="1607" t="s">
        <v>4293</v>
      </c>
      <c r="DZ3" s="1607" t="s">
        <v>433</v>
      </c>
      <c r="EA3" s="1607" t="s">
        <v>4293</v>
      </c>
      <c r="EB3" s="1607" t="s">
        <v>433</v>
      </c>
      <c r="EC3" s="1607" t="s">
        <v>4293</v>
      </c>
      <c r="ED3" s="1607" t="s">
        <v>433</v>
      </c>
    </row>
    <row r="4" spans="1:134" ht="64.5" hidden="1" customHeight="1" x14ac:dyDescent="0.25">
      <c r="A4" s="1561" t="s">
        <v>4751</v>
      </c>
      <c r="B4" s="1018" t="s">
        <v>4298</v>
      </c>
      <c r="C4" s="1116" t="s">
        <v>4397</v>
      </c>
      <c r="D4" s="1019" t="s">
        <v>4562</v>
      </c>
      <c r="E4" s="1020">
        <v>510</v>
      </c>
      <c r="F4" s="1120" t="s">
        <v>4660</v>
      </c>
      <c r="G4" s="1399">
        <v>100000000</v>
      </c>
      <c r="H4" s="1061">
        <f t="shared" ref="H4:H33" si="0">+CN4</f>
        <v>6000000</v>
      </c>
      <c r="I4" s="1061">
        <f t="shared" ref="I4:I33" si="1">Y4-H4</f>
        <v>9000000</v>
      </c>
      <c r="J4" s="1399" t="s">
        <v>4758</v>
      </c>
      <c r="K4" s="1283" t="s">
        <v>4753</v>
      </c>
      <c r="L4" s="1283" t="s">
        <v>4759</v>
      </c>
      <c r="M4" s="1115">
        <v>14</v>
      </c>
      <c r="N4" s="1115">
        <v>43</v>
      </c>
      <c r="O4" s="1115">
        <v>6</v>
      </c>
      <c r="P4" s="1115">
        <v>0</v>
      </c>
      <c r="Q4" s="1115">
        <v>68</v>
      </c>
      <c r="R4" s="1115">
        <v>0</v>
      </c>
      <c r="S4" s="1120"/>
      <c r="T4" s="1120"/>
      <c r="U4" s="1120"/>
      <c r="V4" s="1070"/>
      <c r="W4" s="1070"/>
      <c r="X4" s="1070"/>
      <c r="Y4" s="1008">
        <f t="shared" ref="Y4:Y33" si="2">SUM(Z4:AS4)</f>
        <v>15000000</v>
      </c>
      <c r="Z4" s="1008"/>
      <c r="AA4" s="1008"/>
      <c r="AB4" s="1008"/>
      <c r="AC4" s="1008"/>
      <c r="AD4" s="1008"/>
      <c r="AE4" s="1008"/>
      <c r="AF4" s="1008"/>
      <c r="AG4" s="1008"/>
      <c r="AH4" s="1008"/>
      <c r="AI4" s="1008"/>
      <c r="AJ4" s="1008"/>
      <c r="AK4" s="1008"/>
      <c r="AL4" s="1008"/>
      <c r="AM4" s="1008">
        <v>15000000</v>
      </c>
      <c r="AN4" s="1008"/>
      <c r="AO4" s="1008"/>
      <c r="AP4" s="1008"/>
      <c r="AQ4" s="1008"/>
      <c r="AR4" s="1008"/>
      <c r="AS4" s="1008"/>
      <c r="AT4" s="983"/>
      <c r="AU4" s="1011">
        <f t="shared" ref="AU4:AU67" si="3">+AV4/Y4</f>
        <v>0.4</v>
      </c>
      <c r="AV4" s="1008">
        <f t="shared" ref="AV4:AV33" si="4">SUM(AW4:BP4)</f>
        <v>6000000</v>
      </c>
      <c r="AW4" s="1013"/>
      <c r="AX4" s="218"/>
      <c r="AY4" s="218"/>
      <c r="AZ4" s="218"/>
      <c r="BA4" s="218"/>
      <c r="BB4" s="149"/>
      <c r="BC4" s="149"/>
      <c r="BD4" s="149"/>
      <c r="BE4" s="149"/>
      <c r="BF4" s="149"/>
      <c r="BG4" s="149"/>
      <c r="BH4" s="149"/>
      <c r="BI4" s="149"/>
      <c r="BJ4" s="149">
        <f>+'[16]AGOSTO 2015'!$W$1944</f>
        <v>6000000</v>
      </c>
      <c r="BK4" s="149"/>
      <c r="BL4" s="149"/>
      <c r="BM4" s="149"/>
      <c r="BN4" s="149"/>
      <c r="BO4" s="149"/>
      <c r="BP4" s="149"/>
      <c r="BQ4" s="1011">
        <f t="shared" ref="BQ4:BQ19" si="5">1-AU4</f>
        <v>0.6</v>
      </c>
      <c r="BR4" s="1008">
        <f t="shared" ref="BR4:BR33" si="6">SUM(BS4:CL4)</f>
        <v>9000000</v>
      </c>
      <c r="BS4" s="1008">
        <f t="shared" ref="BS4:BS33" si="7">+Z4-AW4</f>
        <v>0</v>
      </c>
      <c r="BT4" s="1008">
        <f t="shared" ref="BT4:BT18" si="8">+AA4</f>
        <v>0</v>
      </c>
      <c r="BU4" s="1008"/>
      <c r="BV4" s="1008">
        <f t="shared" ref="BV4:BV33" si="9">AC4-AZ4</f>
        <v>0</v>
      </c>
      <c r="BW4" s="1008"/>
      <c r="BX4" s="1008">
        <f t="shared" ref="BX4:BY33" si="10">+AE4-BB4</f>
        <v>0</v>
      </c>
      <c r="BY4" s="1008">
        <f t="shared" si="10"/>
        <v>0</v>
      </c>
      <c r="BZ4" s="1008"/>
      <c r="CA4" s="1008">
        <f t="shared" ref="CA4:CJ19" si="11">+AH4-BE4</f>
        <v>0</v>
      </c>
      <c r="CB4" s="1008">
        <f t="shared" si="11"/>
        <v>0</v>
      </c>
      <c r="CC4" s="1008">
        <f t="shared" si="11"/>
        <v>0</v>
      </c>
      <c r="CD4" s="1008">
        <f t="shared" si="11"/>
        <v>0</v>
      </c>
      <c r="CE4" s="1008">
        <f t="shared" si="11"/>
        <v>0</v>
      </c>
      <c r="CF4" s="1008">
        <f t="shared" si="11"/>
        <v>9000000</v>
      </c>
      <c r="CG4" s="1008">
        <f t="shared" si="11"/>
        <v>0</v>
      </c>
      <c r="CH4" s="1008">
        <f t="shared" si="11"/>
        <v>0</v>
      </c>
      <c r="CI4" s="1008">
        <f t="shared" si="11"/>
        <v>0</v>
      </c>
      <c r="CJ4" s="1008">
        <f t="shared" si="11"/>
        <v>0</v>
      </c>
      <c r="CK4" s="1008"/>
      <c r="CL4" s="1008">
        <f t="shared" ref="CL4:CL33" si="12">+AS4-BP4</f>
        <v>0</v>
      </c>
      <c r="CM4" s="1011">
        <f t="shared" ref="CM4:CM67" si="13">+CN4/Y4</f>
        <v>0.4</v>
      </c>
      <c r="CN4" s="1008">
        <f t="shared" ref="CN4:CN33" si="14">SUM(CO4:DH4)</f>
        <v>6000000</v>
      </c>
      <c r="CO4" s="1008"/>
      <c r="CP4" s="1008"/>
      <c r="CQ4" s="1008"/>
      <c r="CR4" s="1008"/>
      <c r="CS4" s="1008"/>
      <c r="CT4" s="1008"/>
      <c r="CU4" s="1008"/>
      <c r="CV4" s="1008"/>
      <c r="CW4" s="1008"/>
      <c r="CX4" s="1008"/>
      <c r="CY4" s="1008"/>
      <c r="CZ4" s="1008"/>
      <c r="DA4" s="1008"/>
      <c r="DB4" s="1008">
        <f>+'[16]AGOSTO 2015'!$H$1942</f>
        <v>6000000</v>
      </c>
      <c r="DC4" s="1008"/>
      <c r="DD4" s="1008"/>
      <c r="DE4" s="1008"/>
      <c r="DF4" s="1008"/>
      <c r="DG4" s="1008"/>
      <c r="DH4" s="1008"/>
      <c r="DI4" s="1011">
        <f t="shared" ref="DI4:DI67" si="15">1-CM4</f>
        <v>0.6</v>
      </c>
      <c r="DJ4" s="1008">
        <f t="shared" ref="DJ4:DJ33" si="16">SUM(DK4:ED4)</f>
        <v>9000000</v>
      </c>
      <c r="DK4" s="1008">
        <f t="shared" ref="DK4:DL33" si="17">Z4-CO4</f>
        <v>0</v>
      </c>
      <c r="DL4" s="1008">
        <f t="shared" si="17"/>
        <v>0</v>
      </c>
      <c r="DM4" s="1008"/>
      <c r="DN4" s="1008">
        <f t="shared" ref="DN4:DQ32" si="18">AC4-CR4</f>
        <v>0</v>
      </c>
      <c r="DO4" s="1008">
        <f t="shared" si="18"/>
        <v>0</v>
      </c>
      <c r="DP4" s="1008">
        <f t="shared" si="18"/>
        <v>0</v>
      </c>
      <c r="DQ4" s="1008">
        <f t="shared" si="18"/>
        <v>0</v>
      </c>
      <c r="DR4" s="1008"/>
      <c r="DS4" s="1008">
        <f t="shared" ref="DS4:DT33" si="19">+AH4-CW4</f>
        <v>0</v>
      </c>
      <c r="DT4" s="1008">
        <f t="shared" si="19"/>
        <v>0</v>
      </c>
      <c r="DU4" s="1008"/>
      <c r="DV4" s="1008">
        <f t="shared" ref="DV4:DX33" si="20">AK4-CZ4</f>
        <v>0</v>
      </c>
      <c r="DW4" s="1008">
        <f t="shared" si="20"/>
        <v>0</v>
      </c>
      <c r="DX4" s="1008">
        <f t="shared" si="20"/>
        <v>9000000</v>
      </c>
      <c r="DY4" s="1008">
        <f t="shared" ref="DY4:EB33" si="21">+AN4-DC4</f>
        <v>0</v>
      </c>
      <c r="DZ4" s="1008">
        <f t="shared" si="21"/>
        <v>0</v>
      </c>
      <c r="EA4" s="1008">
        <f t="shared" si="21"/>
        <v>0</v>
      </c>
      <c r="EB4" s="1008">
        <f t="shared" si="21"/>
        <v>0</v>
      </c>
      <c r="EC4" s="1008"/>
      <c r="ED4" s="1008">
        <f t="shared" ref="ED4:ED33" si="22">+AS4-DH4</f>
        <v>0</v>
      </c>
    </row>
    <row r="5" spans="1:134" ht="65.25" hidden="1" customHeight="1" x14ac:dyDescent="0.25">
      <c r="A5" s="1562"/>
      <c r="B5" s="1021"/>
      <c r="C5" s="1116" t="s">
        <v>4557</v>
      </c>
      <c r="D5" s="1019" t="s">
        <v>4656</v>
      </c>
      <c r="E5" s="1020">
        <v>510</v>
      </c>
      <c r="F5" s="1120" t="s">
        <v>4660</v>
      </c>
      <c r="G5" s="1400"/>
      <c r="H5" s="1061">
        <f t="shared" si="0"/>
        <v>0</v>
      </c>
      <c r="I5" s="1061">
        <f t="shared" si="1"/>
        <v>10000000</v>
      </c>
      <c r="J5" s="1400"/>
      <c r="K5" s="1573"/>
      <c r="L5" s="1573"/>
      <c r="M5" s="1115">
        <v>0</v>
      </c>
      <c r="N5" s="1115">
        <v>0</v>
      </c>
      <c r="O5" s="1115">
        <v>0</v>
      </c>
      <c r="P5" s="1115">
        <v>0</v>
      </c>
      <c r="Q5" s="1115">
        <v>25</v>
      </c>
      <c r="R5" s="1115">
        <v>0</v>
      </c>
      <c r="S5" s="1120"/>
      <c r="T5" s="1120"/>
      <c r="U5" s="1120"/>
      <c r="V5" s="1120"/>
      <c r="W5" s="1120"/>
      <c r="X5" s="1120"/>
      <c r="Y5" s="1008">
        <f t="shared" si="2"/>
        <v>10000000</v>
      </c>
      <c r="Z5" s="1008"/>
      <c r="AA5" s="1008"/>
      <c r="AB5" s="1008"/>
      <c r="AC5" s="1008"/>
      <c r="AD5" s="1008"/>
      <c r="AE5" s="1008"/>
      <c r="AF5" s="1008"/>
      <c r="AG5" s="1008"/>
      <c r="AH5" s="1008"/>
      <c r="AI5" s="1008"/>
      <c r="AJ5" s="1008"/>
      <c r="AK5" s="1008"/>
      <c r="AL5" s="1008"/>
      <c r="AM5" s="1008">
        <v>10000000</v>
      </c>
      <c r="AN5" s="1008"/>
      <c r="AO5" s="1008"/>
      <c r="AP5" s="1008"/>
      <c r="AQ5" s="1008"/>
      <c r="AR5" s="1008"/>
      <c r="AS5" s="1008"/>
      <c r="AT5" s="986"/>
      <c r="AU5" s="1011">
        <f t="shared" si="3"/>
        <v>0</v>
      </c>
      <c r="AV5" s="1008">
        <f t="shared" si="4"/>
        <v>0</v>
      </c>
      <c r="AW5" s="1008"/>
      <c r="AX5" s="1008"/>
      <c r="AY5" s="1008"/>
      <c r="AZ5" s="1008"/>
      <c r="BA5" s="1008"/>
      <c r="BB5" s="1008"/>
      <c r="BC5" s="1008"/>
      <c r="BD5" s="1008"/>
      <c r="BE5" s="1008"/>
      <c r="BF5" s="1008"/>
      <c r="BG5" s="1008"/>
      <c r="BH5" s="1008"/>
      <c r="BI5" s="1008"/>
      <c r="BJ5" s="1008"/>
      <c r="BK5" s="1008"/>
      <c r="BL5" s="1008"/>
      <c r="BM5" s="1008"/>
      <c r="BN5" s="1008"/>
      <c r="BO5" s="1008"/>
      <c r="BP5" s="1008"/>
      <c r="BQ5" s="1011">
        <f t="shared" si="5"/>
        <v>1</v>
      </c>
      <c r="BR5" s="1008">
        <f t="shared" si="6"/>
        <v>10000000</v>
      </c>
      <c r="BS5" s="1008">
        <f t="shared" si="7"/>
        <v>0</v>
      </c>
      <c r="BT5" s="1008">
        <f t="shared" si="8"/>
        <v>0</v>
      </c>
      <c r="BU5" s="1008"/>
      <c r="BV5" s="1008">
        <f t="shared" si="9"/>
        <v>0</v>
      </c>
      <c r="BW5" s="1008"/>
      <c r="BX5" s="1008">
        <f t="shared" si="10"/>
        <v>0</v>
      </c>
      <c r="BY5" s="1008">
        <f t="shared" si="10"/>
        <v>0</v>
      </c>
      <c r="BZ5" s="1008"/>
      <c r="CA5" s="1008"/>
      <c r="CB5" s="1008"/>
      <c r="CC5" s="1008"/>
      <c r="CD5" s="1008">
        <f t="shared" si="11"/>
        <v>0</v>
      </c>
      <c r="CE5" s="1008">
        <f t="shared" si="11"/>
        <v>0</v>
      </c>
      <c r="CF5" s="1008">
        <f t="shared" si="11"/>
        <v>10000000</v>
      </c>
      <c r="CG5" s="1008">
        <f t="shared" si="11"/>
        <v>0</v>
      </c>
      <c r="CH5" s="1008">
        <f t="shared" si="11"/>
        <v>0</v>
      </c>
      <c r="CI5" s="1008">
        <f t="shared" si="11"/>
        <v>0</v>
      </c>
      <c r="CJ5" s="1008"/>
      <c r="CK5" s="1008"/>
      <c r="CL5" s="1008">
        <f t="shared" si="12"/>
        <v>0</v>
      </c>
      <c r="CM5" s="1011">
        <f t="shared" si="13"/>
        <v>0</v>
      </c>
      <c r="CN5" s="1008">
        <f t="shared" si="14"/>
        <v>0</v>
      </c>
      <c r="CO5" s="1008"/>
      <c r="CP5" s="1008"/>
      <c r="CQ5" s="1008"/>
      <c r="CR5" s="1008"/>
      <c r="CS5" s="1008"/>
      <c r="CT5" s="1008"/>
      <c r="CU5" s="1008"/>
      <c r="CV5" s="1008"/>
      <c r="CW5" s="1008"/>
      <c r="CX5" s="1008"/>
      <c r="CY5" s="1008"/>
      <c r="CZ5" s="1008"/>
      <c r="DA5" s="1008"/>
      <c r="DB5" s="1008"/>
      <c r="DC5" s="1008"/>
      <c r="DD5" s="1008"/>
      <c r="DE5" s="1008"/>
      <c r="DF5" s="1008"/>
      <c r="DG5" s="1008"/>
      <c r="DH5" s="1008"/>
      <c r="DI5" s="1011">
        <f t="shared" si="15"/>
        <v>1</v>
      </c>
      <c r="DJ5" s="1008">
        <f t="shared" si="16"/>
        <v>10000000</v>
      </c>
      <c r="DK5" s="1008">
        <f t="shared" si="17"/>
        <v>0</v>
      </c>
      <c r="DL5" s="1008">
        <f t="shared" si="17"/>
        <v>0</v>
      </c>
      <c r="DM5" s="1008"/>
      <c r="DN5" s="1008">
        <f t="shared" si="18"/>
        <v>0</v>
      </c>
      <c r="DO5" s="1008">
        <f t="shared" si="18"/>
        <v>0</v>
      </c>
      <c r="DP5" s="1008">
        <f t="shared" si="18"/>
        <v>0</v>
      </c>
      <c r="DQ5" s="1008">
        <f t="shared" si="18"/>
        <v>0</v>
      </c>
      <c r="DR5" s="1008"/>
      <c r="DS5" s="1008">
        <f t="shared" si="19"/>
        <v>0</v>
      </c>
      <c r="DT5" s="1008">
        <f t="shared" si="19"/>
        <v>0</v>
      </c>
      <c r="DU5" s="1008"/>
      <c r="DV5" s="1008">
        <f t="shared" si="20"/>
        <v>0</v>
      </c>
      <c r="DW5" s="1008">
        <f t="shared" si="20"/>
        <v>0</v>
      </c>
      <c r="DX5" s="1008">
        <f t="shared" si="20"/>
        <v>10000000</v>
      </c>
      <c r="DY5" s="1008">
        <f t="shared" si="21"/>
        <v>0</v>
      </c>
      <c r="DZ5" s="1008">
        <f t="shared" si="21"/>
        <v>0</v>
      </c>
      <c r="EA5" s="1008">
        <f t="shared" si="21"/>
        <v>0</v>
      </c>
      <c r="EB5" s="1008">
        <f t="shared" si="21"/>
        <v>0</v>
      </c>
      <c r="EC5" s="1008"/>
      <c r="ED5" s="1008">
        <f t="shared" si="22"/>
        <v>0</v>
      </c>
    </row>
    <row r="6" spans="1:134" ht="66.75" hidden="1" customHeight="1" x14ac:dyDescent="0.25">
      <c r="A6" s="1562"/>
      <c r="B6" s="1021"/>
      <c r="C6" s="1116" t="s">
        <v>4558</v>
      </c>
      <c r="D6" s="1019" t="s">
        <v>4657</v>
      </c>
      <c r="E6" s="1133">
        <v>510</v>
      </c>
      <c r="F6" s="1120" t="s">
        <v>4660</v>
      </c>
      <c r="G6" s="1400"/>
      <c r="H6" s="1061">
        <f t="shared" si="0"/>
        <v>0</v>
      </c>
      <c r="I6" s="1061">
        <f t="shared" si="1"/>
        <v>5000000</v>
      </c>
      <c r="J6" s="1400"/>
      <c r="K6" s="1573"/>
      <c r="L6" s="1573"/>
      <c r="M6" s="1115">
        <v>0</v>
      </c>
      <c r="N6" s="1115">
        <v>0</v>
      </c>
      <c r="O6" s="1115">
        <v>0</v>
      </c>
      <c r="P6" s="1115">
        <v>0</v>
      </c>
      <c r="Q6" s="1115">
        <v>25</v>
      </c>
      <c r="R6" s="1115">
        <v>0</v>
      </c>
      <c r="S6" s="1120"/>
      <c r="T6" s="1120"/>
      <c r="U6" s="1120"/>
      <c r="V6" s="1120"/>
      <c r="W6" s="1120"/>
      <c r="X6" s="1120"/>
      <c r="Y6" s="1008">
        <f t="shared" si="2"/>
        <v>5000000</v>
      </c>
      <c r="Z6" s="1008"/>
      <c r="AA6" s="1008"/>
      <c r="AB6" s="1008"/>
      <c r="AC6" s="1008"/>
      <c r="AD6" s="1008"/>
      <c r="AE6" s="1008"/>
      <c r="AF6" s="1008"/>
      <c r="AG6" s="1008"/>
      <c r="AH6" s="1008"/>
      <c r="AI6" s="1008"/>
      <c r="AJ6" s="1008"/>
      <c r="AK6" s="1008"/>
      <c r="AL6" s="1008"/>
      <c r="AM6" s="1008">
        <v>5000000</v>
      </c>
      <c r="AN6" s="1008"/>
      <c r="AO6" s="1008"/>
      <c r="AP6" s="1008"/>
      <c r="AQ6" s="1008"/>
      <c r="AR6" s="1008"/>
      <c r="AS6" s="1008"/>
      <c r="AT6" s="986"/>
      <c r="AU6" s="1011">
        <f t="shared" si="3"/>
        <v>1</v>
      </c>
      <c r="AV6" s="1008">
        <f t="shared" si="4"/>
        <v>5000000</v>
      </c>
      <c r="AW6" s="1008"/>
      <c r="AX6" s="1008"/>
      <c r="AY6" s="1008"/>
      <c r="AZ6" s="1008"/>
      <c r="BA6" s="1008"/>
      <c r="BB6" s="1008"/>
      <c r="BC6" s="1008"/>
      <c r="BD6" s="1008"/>
      <c r="BE6" s="1008"/>
      <c r="BF6" s="1008"/>
      <c r="BG6" s="1008"/>
      <c r="BH6" s="1008"/>
      <c r="BI6" s="1008"/>
      <c r="BJ6" s="1008">
        <f>+'[18]OCTUBRE 2015'!$W$2832</f>
        <v>5000000</v>
      </c>
      <c r="BK6" s="1008"/>
      <c r="BL6" s="1008"/>
      <c r="BM6" s="1008"/>
      <c r="BN6" s="1008"/>
      <c r="BO6" s="1008"/>
      <c r="BP6" s="1008"/>
      <c r="BQ6" s="1011">
        <f t="shared" si="5"/>
        <v>0</v>
      </c>
      <c r="BR6" s="1008">
        <f t="shared" si="6"/>
        <v>0</v>
      </c>
      <c r="BS6" s="1008">
        <f t="shared" si="7"/>
        <v>0</v>
      </c>
      <c r="BT6" s="1008">
        <f t="shared" si="8"/>
        <v>0</v>
      </c>
      <c r="BU6" s="1008"/>
      <c r="BV6" s="1008">
        <f t="shared" si="9"/>
        <v>0</v>
      </c>
      <c r="BW6" s="1008"/>
      <c r="BX6" s="1008">
        <f t="shared" si="10"/>
        <v>0</v>
      </c>
      <c r="BY6" s="1008">
        <f t="shared" si="10"/>
        <v>0</v>
      </c>
      <c r="BZ6" s="1008"/>
      <c r="CA6" s="1008"/>
      <c r="CB6" s="1008"/>
      <c r="CC6" s="1008"/>
      <c r="CD6" s="1008">
        <f t="shared" si="11"/>
        <v>0</v>
      </c>
      <c r="CE6" s="1008">
        <f t="shared" si="11"/>
        <v>0</v>
      </c>
      <c r="CF6" s="1008">
        <f t="shared" si="11"/>
        <v>0</v>
      </c>
      <c r="CG6" s="1008">
        <f t="shared" si="11"/>
        <v>0</v>
      </c>
      <c r="CH6" s="1008">
        <f t="shared" si="11"/>
        <v>0</v>
      </c>
      <c r="CI6" s="1008">
        <f t="shared" si="11"/>
        <v>0</v>
      </c>
      <c r="CJ6" s="1008"/>
      <c r="CK6" s="1008"/>
      <c r="CL6" s="1008">
        <f t="shared" si="12"/>
        <v>0</v>
      </c>
      <c r="CM6" s="1011">
        <f t="shared" si="13"/>
        <v>0</v>
      </c>
      <c r="CN6" s="1008">
        <f t="shared" si="14"/>
        <v>0</v>
      </c>
      <c r="CO6" s="1008"/>
      <c r="CP6" s="1008"/>
      <c r="CQ6" s="1008"/>
      <c r="CR6" s="1008"/>
      <c r="CS6" s="1008"/>
      <c r="CT6" s="1008"/>
      <c r="CU6" s="1008"/>
      <c r="CV6" s="1008"/>
      <c r="CW6" s="1008"/>
      <c r="CX6" s="1008"/>
      <c r="CY6" s="1008"/>
      <c r="CZ6" s="1008"/>
      <c r="DA6" s="1008"/>
      <c r="DB6" s="1008"/>
      <c r="DC6" s="1008"/>
      <c r="DD6" s="1008"/>
      <c r="DE6" s="1008"/>
      <c r="DF6" s="1008"/>
      <c r="DG6" s="1008"/>
      <c r="DH6" s="1008"/>
      <c r="DI6" s="1011">
        <f t="shared" si="15"/>
        <v>1</v>
      </c>
      <c r="DJ6" s="1008">
        <f t="shared" si="16"/>
        <v>5000000</v>
      </c>
      <c r="DK6" s="1008">
        <f t="shared" si="17"/>
        <v>0</v>
      </c>
      <c r="DL6" s="1008">
        <f t="shared" si="17"/>
        <v>0</v>
      </c>
      <c r="DM6" s="1008"/>
      <c r="DN6" s="1008">
        <f t="shared" si="18"/>
        <v>0</v>
      </c>
      <c r="DO6" s="1008">
        <f t="shared" si="18"/>
        <v>0</v>
      </c>
      <c r="DP6" s="1008">
        <f t="shared" si="18"/>
        <v>0</v>
      </c>
      <c r="DQ6" s="1008">
        <f t="shared" si="18"/>
        <v>0</v>
      </c>
      <c r="DR6" s="1008"/>
      <c r="DS6" s="1008">
        <f t="shared" si="19"/>
        <v>0</v>
      </c>
      <c r="DT6" s="1008">
        <f t="shared" si="19"/>
        <v>0</v>
      </c>
      <c r="DU6" s="1008"/>
      <c r="DV6" s="1008">
        <f t="shared" si="20"/>
        <v>0</v>
      </c>
      <c r="DW6" s="1008">
        <f t="shared" si="20"/>
        <v>0</v>
      </c>
      <c r="DX6" s="1008">
        <f t="shared" si="20"/>
        <v>5000000</v>
      </c>
      <c r="DY6" s="1008">
        <f t="shared" si="21"/>
        <v>0</v>
      </c>
      <c r="DZ6" s="1008">
        <f t="shared" si="21"/>
        <v>0</v>
      </c>
      <c r="EA6" s="1008">
        <f t="shared" si="21"/>
        <v>0</v>
      </c>
      <c r="EB6" s="1008">
        <f t="shared" si="21"/>
        <v>0</v>
      </c>
      <c r="EC6" s="1008"/>
      <c r="ED6" s="1008">
        <f t="shared" si="22"/>
        <v>0</v>
      </c>
    </row>
    <row r="7" spans="1:134" ht="50.25" hidden="1" customHeight="1" x14ac:dyDescent="0.25">
      <c r="A7" s="1562"/>
      <c r="B7" s="1022"/>
      <c r="C7" s="1116" t="s">
        <v>4559</v>
      </c>
      <c r="D7" s="1019" t="s">
        <v>4658</v>
      </c>
      <c r="E7" s="1023">
        <v>510</v>
      </c>
      <c r="F7" s="1120" t="s">
        <v>4660</v>
      </c>
      <c r="G7" s="1400"/>
      <c r="H7" s="1061">
        <f t="shared" si="0"/>
        <v>10507037</v>
      </c>
      <c r="I7" s="1061">
        <f t="shared" si="1"/>
        <v>24492963</v>
      </c>
      <c r="J7" s="1400"/>
      <c r="K7" s="1573"/>
      <c r="L7" s="1573"/>
      <c r="M7" s="1115">
        <v>0</v>
      </c>
      <c r="N7" s="1115">
        <v>0</v>
      </c>
      <c r="O7" s="1115">
        <v>0</v>
      </c>
      <c r="P7" s="1115">
        <v>0</v>
      </c>
      <c r="Q7" s="1115">
        <v>25</v>
      </c>
      <c r="R7" s="1115">
        <v>0</v>
      </c>
      <c r="S7" s="1120"/>
      <c r="T7" s="1120"/>
      <c r="U7" s="1120"/>
      <c r="V7" s="1120"/>
      <c r="W7" s="1120"/>
      <c r="X7" s="1120"/>
      <c r="Y7" s="1008">
        <f t="shared" si="2"/>
        <v>35000000</v>
      </c>
      <c r="Z7" s="1008"/>
      <c r="AA7" s="1008"/>
      <c r="AB7" s="1008"/>
      <c r="AC7" s="1008"/>
      <c r="AD7" s="1008"/>
      <c r="AE7" s="1008"/>
      <c r="AF7" s="1008"/>
      <c r="AG7" s="1008"/>
      <c r="AH7" s="1008"/>
      <c r="AI7" s="1008"/>
      <c r="AJ7" s="1008"/>
      <c r="AK7" s="1008"/>
      <c r="AL7" s="1008"/>
      <c r="AM7" s="1067">
        <f>10000000+25000000</f>
        <v>35000000</v>
      </c>
      <c r="AN7" s="1008"/>
      <c r="AO7" s="1008"/>
      <c r="AP7" s="1008"/>
      <c r="AQ7" s="1008"/>
      <c r="AR7" s="1008"/>
      <c r="AS7" s="1008"/>
      <c r="AT7" s="986"/>
      <c r="AU7" s="1011">
        <f t="shared" si="3"/>
        <v>0.55086391428571424</v>
      </c>
      <c r="AV7" s="1008">
        <f t="shared" si="4"/>
        <v>19280237</v>
      </c>
      <c r="AW7" s="1008"/>
      <c r="AX7" s="1008"/>
      <c r="AY7" s="1008"/>
      <c r="AZ7" s="1008"/>
      <c r="BA7" s="1008"/>
      <c r="BB7" s="1008"/>
      <c r="BC7" s="1008"/>
      <c r="BD7" s="1008"/>
      <c r="BE7" s="1008"/>
      <c r="BF7" s="1008"/>
      <c r="BG7" s="1008"/>
      <c r="BH7" s="1008"/>
      <c r="BI7" s="1008"/>
      <c r="BJ7" s="1008">
        <f>+'[18]OCTUBRE 2015'!$W$2838</f>
        <v>19280237</v>
      </c>
      <c r="BK7" s="1008"/>
      <c r="BL7" s="1008"/>
      <c r="BM7" s="1008"/>
      <c r="BN7" s="1008"/>
      <c r="BO7" s="1008"/>
      <c r="BP7" s="1008"/>
      <c r="BQ7" s="1011">
        <f t="shared" si="5"/>
        <v>0.44913608571428576</v>
      </c>
      <c r="BR7" s="1008">
        <f t="shared" si="6"/>
        <v>15719763</v>
      </c>
      <c r="BS7" s="1008">
        <f t="shared" si="7"/>
        <v>0</v>
      </c>
      <c r="BT7" s="1008">
        <f t="shared" si="8"/>
        <v>0</v>
      </c>
      <c r="BU7" s="1008"/>
      <c r="BV7" s="1008">
        <f t="shared" si="9"/>
        <v>0</v>
      </c>
      <c r="BW7" s="1008"/>
      <c r="BX7" s="1008">
        <f t="shared" si="10"/>
        <v>0</v>
      </c>
      <c r="BY7" s="1008">
        <f t="shared" si="10"/>
        <v>0</v>
      </c>
      <c r="BZ7" s="1008"/>
      <c r="CA7" s="1008"/>
      <c r="CB7" s="1008"/>
      <c r="CC7" s="1008"/>
      <c r="CD7" s="1008">
        <f t="shared" si="11"/>
        <v>0</v>
      </c>
      <c r="CE7" s="1008">
        <f t="shared" si="11"/>
        <v>0</v>
      </c>
      <c r="CF7" s="1008">
        <f t="shared" si="11"/>
        <v>15719763</v>
      </c>
      <c r="CG7" s="1008">
        <f t="shared" si="11"/>
        <v>0</v>
      </c>
      <c r="CH7" s="1008">
        <f t="shared" si="11"/>
        <v>0</v>
      </c>
      <c r="CI7" s="1008">
        <f t="shared" si="11"/>
        <v>0</v>
      </c>
      <c r="CJ7" s="1008"/>
      <c r="CK7" s="1008"/>
      <c r="CL7" s="1008">
        <f t="shared" si="12"/>
        <v>0</v>
      </c>
      <c r="CM7" s="1011">
        <f t="shared" si="13"/>
        <v>0.30020105714285716</v>
      </c>
      <c r="CN7" s="1008">
        <f t="shared" si="14"/>
        <v>10507037</v>
      </c>
      <c r="CO7" s="1008"/>
      <c r="CP7" s="1008"/>
      <c r="CQ7" s="1008"/>
      <c r="CR7" s="1008"/>
      <c r="CS7" s="1008"/>
      <c r="CT7" s="1008"/>
      <c r="CU7" s="1008"/>
      <c r="CV7" s="1008"/>
      <c r="CW7" s="1008"/>
      <c r="CX7" s="1008"/>
      <c r="CY7" s="1008"/>
      <c r="CZ7" s="1008"/>
      <c r="DA7" s="1008"/>
      <c r="DB7" s="1008">
        <f>+'[18]OCTUBRE 2015'!$H$2836</f>
        <v>10507037</v>
      </c>
      <c r="DC7" s="1008"/>
      <c r="DD7" s="1008"/>
      <c r="DE7" s="1008"/>
      <c r="DF7" s="1008"/>
      <c r="DG7" s="1008"/>
      <c r="DH7" s="1008"/>
      <c r="DI7" s="1011">
        <f t="shared" si="15"/>
        <v>0.69979894285714284</v>
      </c>
      <c r="DJ7" s="1008">
        <f t="shared" si="16"/>
        <v>24492963</v>
      </c>
      <c r="DK7" s="1008">
        <f t="shared" si="17"/>
        <v>0</v>
      </c>
      <c r="DL7" s="1008">
        <f t="shared" si="17"/>
        <v>0</v>
      </c>
      <c r="DM7" s="1008"/>
      <c r="DN7" s="1008">
        <f t="shared" si="18"/>
        <v>0</v>
      </c>
      <c r="DO7" s="1008">
        <f t="shared" si="18"/>
        <v>0</v>
      </c>
      <c r="DP7" s="1008">
        <f t="shared" si="18"/>
        <v>0</v>
      </c>
      <c r="DQ7" s="1008">
        <f t="shared" si="18"/>
        <v>0</v>
      </c>
      <c r="DR7" s="1008"/>
      <c r="DS7" s="1008">
        <f t="shared" si="19"/>
        <v>0</v>
      </c>
      <c r="DT7" s="1008">
        <f t="shared" si="19"/>
        <v>0</v>
      </c>
      <c r="DU7" s="1008"/>
      <c r="DV7" s="1008">
        <f t="shared" si="20"/>
        <v>0</v>
      </c>
      <c r="DW7" s="1008">
        <f t="shared" si="20"/>
        <v>0</v>
      </c>
      <c r="DX7" s="1008">
        <f t="shared" si="20"/>
        <v>24492963</v>
      </c>
      <c r="DY7" s="1008">
        <f t="shared" si="21"/>
        <v>0</v>
      </c>
      <c r="DZ7" s="1008">
        <f t="shared" si="21"/>
        <v>0</v>
      </c>
      <c r="EA7" s="1008">
        <f t="shared" si="21"/>
        <v>0</v>
      </c>
      <c r="EB7" s="1008">
        <f t="shared" si="21"/>
        <v>0</v>
      </c>
      <c r="EC7" s="1008"/>
      <c r="ED7" s="1008">
        <f t="shared" si="22"/>
        <v>0</v>
      </c>
    </row>
    <row r="8" spans="1:134" ht="110.25" hidden="1" customHeight="1" x14ac:dyDescent="0.25">
      <c r="A8" s="1562"/>
      <c r="B8" s="1021"/>
      <c r="C8" s="1116" t="s">
        <v>4560</v>
      </c>
      <c r="D8" s="1019" t="s">
        <v>4659</v>
      </c>
      <c r="E8" s="1134">
        <v>510</v>
      </c>
      <c r="F8" s="1120" t="s">
        <v>4660</v>
      </c>
      <c r="G8" s="1400"/>
      <c r="H8" s="1061">
        <f t="shared" si="0"/>
        <v>0</v>
      </c>
      <c r="I8" s="1061">
        <f t="shared" si="1"/>
        <v>0</v>
      </c>
      <c r="J8" s="1400"/>
      <c r="K8" s="1573"/>
      <c r="L8" s="1573"/>
      <c r="M8" s="1115">
        <v>0</v>
      </c>
      <c r="N8" s="1115">
        <v>0</v>
      </c>
      <c r="O8" s="1115">
        <v>0</v>
      </c>
      <c r="P8" s="1115">
        <v>0</v>
      </c>
      <c r="Q8" s="1115">
        <v>25</v>
      </c>
      <c r="R8" s="1115">
        <v>0</v>
      </c>
      <c r="S8" s="1120"/>
      <c r="T8" s="1120"/>
      <c r="U8" s="1120"/>
      <c r="V8" s="1120"/>
      <c r="W8" s="1120"/>
      <c r="X8" s="1120"/>
      <c r="Y8" s="1008">
        <f t="shared" si="2"/>
        <v>0</v>
      </c>
      <c r="Z8" s="1008"/>
      <c r="AA8" s="1008"/>
      <c r="AB8" s="1008"/>
      <c r="AC8" s="1008"/>
      <c r="AD8" s="1008"/>
      <c r="AE8" s="1008"/>
      <c r="AF8" s="1008"/>
      <c r="AG8" s="1008"/>
      <c r="AH8" s="1008"/>
      <c r="AI8" s="1008"/>
      <c r="AJ8" s="1008"/>
      <c r="AK8" s="1008"/>
      <c r="AL8" s="1008"/>
      <c r="AM8" s="1067">
        <f>25000000-25000000</f>
        <v>0</v>
      </c>
      <c r="AN8" s="1008"/>
      <c r="AO8" s="1008"/>
      <c r="AP8" s="1008"/>
      <c r="AQ8" s="1008"/>
      <c r="AR8" s="1008"/>
      <c r="AS8" s="1008"/>
      <c r="AT8" s="986"/>
      <c r="AU8" s="1011">
        <v>0</v>
      </c>
      <c r="AV8" s="1008">
        <f t="shared" si="4"/>
        <v>0</v>
      </c>
      <c r="AW8" s="1008"/>
      <c r="AX8" s="1008"/>
      <c r="AY8" s="1008"/>
      <c r="AZ8" s="1008"/>
      <c r="BA8" s="1008"/>
      <c r="BB8" s="1008"/>
      <c r="BC8" s="1008"/>
      <c r="BD8" s="1008"/>
      <c r="BE8" s="1008"/>
      <c r="BF8" s="1008"/>
      <c r="BG8" s="1008"/>
      <c r="BH8" s="1008"/>
      <c r="BI8" s="1008"/>
      <c r="BJ8" s="1008"/>
      <c r="BK8" s="1008"/>
      <c r="BL8" s="1008"/>
      <c r="BM8" s="1008"/>
      <c r="BN8" s="1008"/>
      <c r="BO8" s="1008"/>
      <c r="BP8" s="1008"/>
      <c r="BQ8" s="1011">
        <v>0</v>
      </c>
      <c r="BR8" s="1008">
        <f t="shared" si="6"/>
        <v>0</v>
      </c>
      <c r="BS8" s="1008">
        <f t="shared" si="7"/>
        <v>0</v>
      </c>
      <c r="BT8" s="1008">
        <f t="shared" si="8"/>
        <v>0</v>
      </c>
      <c r="BU8" s="1008"/>
      <c r="BV8" s="1008">
        <f t="shared" si="9"/>
        <v>0</v>
      </c>
      <c r="BW8" s="1008"/>
      <c r="BX8" s="1008">
        <f t="shared" si="10"/>
        <v>0</v>
      </c>
      <c r="BY8" s="1008">
        <f t="shared" si="10"/>
        <v>0</v>
      </c>
      <c r="BZ8" s="1008"/>
      <c r="CA8" s="1008"/>
      <c r="CB8" s="1008"/>
      <c r="CC8" s="1008"/>
      <c r="CD8" s="1008">
        <f t="shared" si="11"/>
        <v>0</v>
      </c>
      <c r="CE8" s="1008">
        <f t="shared" si="11"/>
        <v>0</v>
      </c>
      <c r="CF8" s="1008">
        <f t="shared" si="11"/>
        <v>0</v>
      </c>
      <c r="CG8" s="1008">
        <f t="shared" si="11"/>
        <v>0</v>
      </c>
      <c r="CH8" s="1008">
        <f t="shared" si="11"/>
        <v>0</v>
      </c>
      <c r="CI8" s="1008">
        <f t="shared" si="11"/>
        <v>0</v>
      </c>
      <c r="CJ8" s="1008"/>
      <c r="CK8" s="1008"/>
      <c r="CL8" s="1008">
        <f t="shared" si="12"/>
        <v>0</v>
      </c>
      <c r="CM8" s="1011">
        <v>0</v>
      </c>
      <c r="CN8" s="1008">
        <f t="shared" si="14"/>
        <v>0</v>
      </c>
      <c r="CO8" s="1008"/>
      <c r="CP8" s="1008"/>
      <c r="CQ8" s="1008"/>
      <c r="CR8" s="1008"/>
      <c r="CS8" s="1008"/>
      <c r="CT8" s="1008"/>
      <c r="CU8" s="1008"/>
      <c r="CV8" s="1008"/>
      <c r="CW8" s="1008"/>
      <c r="CX8" s="1008"/>
      <c r="CY8" s="1008"/>
      <c r="CZ8" s="1008"/>
      <c r="DA8" s="1008"/>
      <c r="DB8" s="1008"/>
      <c r="DC8" s="1008"/>
      <c r="DD8" s="1008"/>
      <c r="DE8" s="1008"/>
      <c r="DF8" s="1008"/>
      <c r="DG8" s="1008"/>
      <c r="DH8" s="1008"/>
      <c r="DI8" s="1011">
        <v>0</v>
      </c>
      <c r="DJ8" s="1008">
        <f t="shared" si="16"/>
        <v>0</v>
      </c>
      <c r="DK8" s="1008">
        <f t="shared" si="17"/>
        <v>0</v>
      </c>
      <c r="DL8" s="1008">
        <f t="shared" si="17"/>
        <v>0</v>
      </c>
      <c r="DM8" s="1008"/>
      <c r="DN8" s="1008">
        <f t="shared" si="18"/>
        <v>0</v>
      </c>
      <c r="DO8" s="1008">
        <f t="shared" si="18"/>
        <v>0</v>
      </c>
      <c r="DP8" s="1008">
        <f t="shared" si="18"/>
        <v>0</v>
      </c>
      <c r="DQ8" s="1008">
        <f t="shared" si="18"/>
        <v>0</v>
      </c>
      <c r="DR8" s="1008"/>
      <c r="DS8" s="1008">
        <f t="shared" si="19"/>
        <v>0</v>
      </c>
      <c r="DT8" s="1008">
        <f t="shared" si="19"/>
        <v>0</v>
      </c>
      <c r="DU8" s="1008"/>
      <c r="DV8" s="1008">
        <f t="shared" si="20"/>
        <v>0</v>
      </c>
      <c r="DW8" s="1008">
        <f t="shared" si="20"/>
        <v>0</v>
      </c>
      <c r="DX8" s="1008">
        <f t="shared" si="20"/>
        <v>0</v>
      </c>
      <c r="DY8" s="1008">
        <f t="shared" si="21"/>
        <v>0</v>
      </c>
      <c r="DZ8" s="1008">
        <f t="shared" si="21"/>
        <v>0</v>
      </c>
      <c r="EA8" s="1008">
        <f t="shared" si="21"/>
        <v>0</v>
      </c>
      <c r="EB8" s="1008">
        <f t="shared" si="21"/>
        <v>0</v>
      </c>
      <c r="EC8" s="1008"/>
      <c r="ED8" s="1008">
        <f t="shared" si="22"/>
        <v>0</v>
      </c>
    </row>
    <row r="9" spans="1:134" ht="47.25" hidden="1" customHeight="1" x14ac:dyDescent="0.25">
      <c r="A9" s="1562"/>
      <c r="B9" s="1021"/>
      <c r="C9" s="1116" t="s">
        <v>4561</v>
      </c>
      <c r="D9" s="1019" t="s">
        <v>4662</v>
      </c>
      <c r="E9" s="1020">
        <v>510</v>
      </c>
      <c r="F9" s="1120" t="s">
        <v>4660</v>
      </c>
      <c r="G9" s="1401"/>
      <c r="H9" s="1061">
        <f t="shared" si="0"/>
        <v>34542493</v>
      </c>
      <c r="I9" s="1061">
        <f t="shared" si="1"/>
        <v>457507</v>
      </c>
      <c r="J9" s="1401"/>
      <c r="K9" s="1284"/>
      <c r="L9" s="1284"/>
      <c r="M9" s="1115">
        <v>0</v>
      </c>
      <c r="N9" s="1115">
        <v>0</v>
      </c>
      <c r="O9" s="1115">
        <v>0</v>
      </c>
      <c r="P9" s="1115">
        <v>42</v>
      </c>
      <c r="Q9" s="1115">
        <v>25</v>
      </c>
      <c r="R9" s="1115">
        <v>11</v>
      </c>
      <c r="S9" s="1120"/>
      <c r="T9" s="1120"/>
      <c r="U9" s="1120"/>
      <c r="V9" s="1120"/>
      <c r="W9" s="1120"/>
      <c r="X9" s="1120"/>
      <c r="Y9" s="1008">
        <f t="shared" si="2"/>
        <v>35000000</v>
      </c>
      <c r="Z9" s="1008"/>
      <c r="AA9" s="1008"/>
      <c r="AB9" s="1008"/>
      <c r="AC9" s="1008"/>
      <c r="AD9" s="1008"/>
      <c r="AE9" s="1008"/>
      <c r="AF9" s="1008"/>
      <c r="AG9" s="1008"/>
      <c r="AH9" s="1008"/>
      <c r="AI9" s="1008"/>
      <c r="AJ9" s="1008"/>
      <c r="AK9" s="1008"/>
      <c r="AL9" s="1008"/>
      <c r="AM9" s="1067">
        <f>35000000</f>
        <v>35000000</v>
      </c>
      <c r="AN9" s="1008"/>
      <c r="AO9" s="1008"/>
      <c r="AP9" s="1008"/>
      <c r="AQ9" s="1008"/>
      <c r="AR9" s="1008"/>
      <c r="AS9" s="1008"/>
      <c r="AT9" s="986"/>
      <c r="AU9" s="1011">
        <f t="shared" si="3"/>
        <v>0.98692837142857148</v>
      </c>
      <c r="AV9" s="1008">
        <f t="shared" si="4"/>
        <v>34542493</v>
      </c>
      <c r="AW9" s="1008"/>
      <c r="AX9" s="1008"/>
      <c r="AY9" s="1008"/>
      <c r="AZ9" s="1008"/>
      <c r="BA9" s="1008"/>
      <c r="BB9" s="1008"/>
      <c r="BC9" s="1008"/>
      <c r="BD9" s="1008"/>
      <c r="BE9" s="1008"/>
      <c r="BF9" s="1008"/>
      <c r="BG9" s="1008"/>
      <c r="BH9" s="1008"/>
      <c r="BI9" s="1008"/>
      <c r="BJ9" s="1008">
        <f>+'[17]SEPTIEMBRE 2015'!$W$2458</f>
        <v>34542493</v>
      </c>
      <c r="BK9" s="1008"/>
      <c r="BL9" s="1008"/>
      <c r="BM9" s="1008"/>
      <c r="BN9" s="1008"/>
      <c r="BO9" s="1008"/>
      <c r="BP9" s="1008"/>
      <c r="BQ9" s="1011">
        <f t="shared" si="5"/>
        <v>1.3071628571428517E-2</v>
      </c>
      <c r="BR9" s="1008">
        <f t="shared" si="6"/>
        <v>457507</v>
      </c>
      <c r="BS9" s="1008">
        <f t="shared" si="7"/>
        <v>0</v>
      </c>
      <c r="BT9" s="1008">
        <f t="shared" si="8"/>
        <v>0</v>
      </c>
      <c r="BU9" s="1008"/>
      <c r="BV9" s="1008">
        <f t="shared" si="9"/>
        <v>0</v>
      </c>
      <c r="BW9" s="1008"/>
      <c r="BX9" s="1008">
        <f t="shared" si="10"/>
        <v>0</v>
      </c>
      <c r="BY9" s="1008">
        <f t="shared" si="10"/>
        <v>0</v>
      </c>
      <c r="BZ9" s="1008"/>
      <c r="CA9" s="1008"/>
      <c r="CB9" s="1008"/>
      <c r="CC9" s="1008"/>
      <c r="CD9" s="1008">
        <f t="shared" si="11"/>
        <v>0</v>
      </c>
      <c r="CE9" s="1008">
        <f t="shared" si="11"/>
        <v>0</v>
      </c>
      <c r="CF9" s="1008">
        <f t="shared" si="11"/>
        <v>457507</v>
      </c>
      <c r="CG9" s="1008">
        <f t="shared" si="11"/>
        <v>0</v>
      </c>
      <c r="CH9" s="1008">
        <f t="shared" si="11"/>
        <v>0</v>
      </c>
      <c r="CI9" s="1008">
        <f t="shared" si="11"/>
        <v>0</v>
      </c>
      <c r="CJ9" s="1008"/>
      <c r="CK9" s="1008"/>
      <c r="CL9" s="1008">
        <f t="shared" si="12"/>
        <v>0</v>
      </c>
      <c r="CM9" s="1011">
        <f t="shared" si="13"/>
        <v>0.98692837142857148</v>
      </c>
      <c r="CN9" s="1008">
        <f t="shared" si="14"/>
        <v>34542493</v>
      </c>
      <c r="CO9" s="1008"/>
      <c r="CP9" s="1008"/>
      <c r="CQ9" s="1008"/>
      <c r="CR9" s="1008"/>
      <c r="CS9" s="1008"/>
      <c r="CT9" s="1008"/>
      <c r="CU9" s="1008"/>
      <c r="CV9" s="1008"/>
      <c r="CW9" s="1008"/>
      <c r="CX9" s="1008"/>
      <c r="CY9" s="1008"/>
      <c r="CZ9" s="1008"/>
      <c r="DA9" s="1008"/>
      <c r="DB9" s="1008">
        <f>+'[17]SEPTIEMBRE 2015'!$H$2456</f>
        <v>34542493</v>
      </c>
      <c r="DC9" s="1008"/>
      <c r="DD9" s="1008"/>
      <c r="DE9" s="1008"/>
      <c r="DF9" s="1008"/>
      <c r="DG9" s="1008"/>
      <c r="DH9" s="1008"/>
      <c r="DI9" s="1011">
        <f t="shared" si="15"/>
        <v>1.3071628571428517E-2</v>
      </c>
      <c r="DJ9" s="1008">
        <f t="shared" si="16"/>
        <v>457507</v>
      </c>
      <c r="DK9" s="1008">
        <f t="shared" si="17"/>
        <v>0</v>
      </c>
      <c r="DL9" s="1008">
        <f t="shared" si="17"/>
        <v>0</v>
      </c>
      <c r="DM9" s="1008"/>
      <c r="DN9" s="1008">
        <f t="shared" si="18"/>
        <v>0</v>
      </c>
      <c r="DO9" s="1008">
        <f t="shared" si="18"/>
        <v>0</v>
      </c>
      <c r="DP9" s="1008">
        <f t="shared" si="18"/>
        <v>0</v>
      </c>
      <c r="DQ9" s="1008">
        <f t="shared" si="18"/>
        <v>0</v>
      </c>
      <c r="DR9" s="1008"/>
      <c r="DS9" s="1008">
        <f t="shared" si="19"/>
        <v>0</v>
      </c>
      <c r="DT9" s="1008">
        <f t="shared" si="19"/>
        <v>0</v>
      </c>
      <c r="DU9" s="1008"/>
      <c r="DV9" s="1008">
        <f t="shared" si="20"/>
        <v>0</v>
      </c>
      <c r="DW9" s="1008">
        <f t="shared" si="20"/>
        <v>0</v>
      </c>
      <c r="DX9" s="1008">
        <f t="shared" si="20"/>
        <v>457507</v>
      </c>
      <c r="DY9" s="1008">
        <f t="shared" si="21"/>
        <v>0</v>
      </c>
      <c r="DZ9" s="1008">
        <f t="shared" si="21"/>
        <v>0</v>
      </c>
      <c r="EA9" s="1008">
        <f t="shared" si="21"/>
        <v>0</v>
      </c>
      <c r="EB9" s="1008">
        <f t="shared" si="21"/>
        <v>0</v>
      </c>
      <c r="EC9" s="1008"/>
      <c r="ED9" s="1008">
        <f t="shared" si="22"/>
        <v>0</v>
      </c>
    </row>
    <row r="10" spans="1:134" ht="51.75" hidden="1" customHeight="1" x14ac:dyDescent="0.25">
      <c r="A10" s="1562"/>
      <c r="B10" s="1021" t="s">
        <v>4299</v>
      </c>
      <c r="C10" s="1116" t="s">
        <v>4398</v>
      </c>
      <c r="D10" s="1019" t="s">
        <v>4300</v>
      </c>
      <c r="E10" s="1020">
        <v>510</v>
      </c>
      <c r="F10" s="1120" t="s">
        <v>4727</v>
      </c>
      <c r="G10" s="1399">
        <v>95000000</v>
      </c>
      <c r="H10" s="1061">
        <f t="shared" si="0"/>
        <v>11958400</v>
      </c>
      <c r="I10" s="1061">
        <f t="shared" si="1"/>
        <v>7041600</v>
      </c>
      <c r="J10" s="1399" t="s">
        <v>4752</v>
      </c>
      <c r="K10" s="1283" t="s">
        <v>4762</v>
      </c>
      <c r="L10" s="1283" t="s">
        <v>4752</v>
      </c>
      <c r="M10" s="1115">
        <v>0</v>
      </c>
      <c r="N10" s="1115">
        <v>0</v>
      </c>
      <c r="O10" s="1115">
        <v>0</v>
      </c>
      <c r="P10" s="1115">
        <v>0</v>
      </c>
      <c r="Q10" s="1115">
        <v>0</v>
      </c>
      <c r="R10" s="1115">
        <v>0</v>
      </c>
      <c r="S10" s="1120"/>
      <c r="T10" s="1120"/>
      <c r="U10" s="1120"/>
      <c r="V10" s="1120"/>
      <c r="W10" s="1120"/>
      <c r="X10" s="1120"/>
      <c r="Y10" s="1008">
        <f t="shared" si="2"/>
        <v>19000000</v>
      </c>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f>5000000+10000000+4000000</f>
        <v>19000000</v>
      </c>
      <c r="AU10" s="1011">
        <f t="shared" si="3"/>
        <v>0.89473684210526316</v>
      </c>
      <c r="AV10" s="1008">
        <f t="shared" si="4"/>
        <v>17000000</v>
      </c>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f>+'[17]SEPTIEMBRE 2015'!$AD$2472</f>
        <v>17000000</v>
      </c>
      <c r="BQ10" s="1011">
        <f t="shared" si="5"/>
        <v>0.10526315789473684</v>
      </c>
      <c r="BR10" s="1008">
        <f t="shared" si="6"/>
        <v>2000000</v>
      </c>
      <c r="BS10" s="1008">
        <f t="shared" si="7"/>
        <v>0</v>
      </c>
      <c r="BT10" s="1008">
        <f t="shared" si="8"/>
        <v>0</v>
      </c>
      <c r="BU10" s="1008"/>
      <c r="BV10" s="1008">
        <f t="shared" si="9"/>
        <v>0</v>
      </c>
      <c r="BW10" s="1008"/>
      <c r="BX10" s="1008">
        <f t="shared" si="10"/>
        <v>0</v>
      </c>
      <c r="BY10" s="1008">
        <f t="shared" si="10"/>
        <v>0</v>
      </c>
      <c r="BZ10" s="1008"/>
      <c r="CA10" s="1008">
        <f>+AH10-BE10</f>
        <v>0</v>
      </c>
      <c r="CB10" s="1008">
        <f>+AI10-BF10</f>
        <v>0</v>
      </c>
      <c r="CC10" s="1008">
        <f>+AJ10-BG10</f>
        <v>0</v>
      </c>
      <c r="CD10" s="1008">
        <f t="shared" si="11"/>
        <v>0</v>
      </c>
      <c r="CE10" s="1008">
        <f t="shared" si="11"/>
        <v>0</v>
      </c>
      <c r="CF10" s="1008">
        <f t="shared" si="11"/>
        <v>0</v>
      </c>
      <c r="CG10" s="1008">
        <f t="shared" si="11"/>
        <v>0</v>
      </c>
      <c r="CH10" s="1008">
        <f t="shared" si="11"/>
        <v>0</v>
      </c>
      <c r="CI10" s="1008">
        <f t="shared" si="11"/>
        <v>0</v>
      </c>
      <c r="CJ10" s="1008"/>
      <c r="CK10" s="1008"/>
      <c r="CL10" s="1008">
        <f t="shared" si="12"/>
        <v>2000000</v>
      </c>
      <c r="CM10" s="1011">
        <f t="shared" si="13"/>
        <v>0.6293894736842105</v>
      </c>
      <c r="CN10" s="1008">
        <f t="shared" si="14"/>
        <v>11958400</v>
      </c>
      <c r="CO10" s="1008"/>
      <c r="CP10" s="1008"/>
      <c r="CQ10" s="1008"/>
      <c r="CR10" s="1008"/>
      <c r="CS10" s="1008"/>
      <c r="CT10" s="1008"/>
      <c r="CU10" s="1008"/>
      <c r="CV10" s="1008"/>
      <c r="CW10" s="1008"/>
      <c r="CX10" s="1008"/>
      <c r="CY10" s="1008"/>
      <c r="CZ10" s="1008"/>
      <c r="DA10" s="1008"/>
      <c r="DB10" s="1008"/>
      <c r="DC10" s="1008"/>
      <c r="DD10" s="1008"/>
      <c r="DE10" s="1008"/>
      <c r="DF10" s="1008"/>
      <c r="DG10" s="1008"/>
      <c r="DH10" s="1008">
        <f>+'[18]OCTUBRE 2015'!$H$2870</f>
        <v>11958400</v>
      </c>
      <c r="DI10" s="1011">
        <f t="shared" si="15"/>
        <v>0.3706105263157895</v>
      </c>
      <c r="DJ10" s="1008">
        <f t="shared" si="16"/>
        <v>7041600</v>
      </c>
      <c r="DK10" s="1008">
        <f t="shared" si="17"/>
        <v>0</v>
      </c>
      <c r="DL10" s="1008">
        <f t="shared" si="17"/>
        <v>0</v>
      </c>
      <c r="DM10" s="1008"/>
      <c r="DN10" s="1008">
        <f t="shared" si="18"/>
        <v>0</v>
      </c>
      <c r="DO10" s="1008">
        <f t="shared" si="18"/>
        <v>0</v>
      </c>
      <c r="DP10" s="1008">
        <f t="shared" si="18"/>
        <v>0</v>
      </c>
      <c r="DQ10" s="1008">
        <f t="shared" si="18"/>
        <v>0</v>
      </c>
      <c r="DR10" s="1008"/>
      <c r="DS10" s="1008">
        <f t="shared" si="19"/>
        <v>0</v>
      </c>
      <c r="DT10" s="1008">
        <f t="shared" si="19"/>
        <v>0</v>
      </c>
      <c r="DU10" s="1008"/>
      <c r="DV10" s="1008">
        <f t="shared" si="20"/>
        <v>0</v>
      </c>
      <c r="DW10" s="1008">
        <f t="shared" si="20"/>
        <v>0</v>
      </c>
      <c r="DX10" s="1008">
        <f t="shared" si="20"/>
        <v>0</v>
      </c>
      <c r="DY10" s="1008">
        <f t="shared" si="21"/>
        <v>0</v>
      </c>
      <c r="DZ10" s="1008">
        <f t="shared" si="21"/>
        <v>0</v>
      </c>
      <c r="EA10" s="1008">
        <f t="shared" si="21"/>
        <v>0</v>
      </c>
      <c r="EB10" s="1008">
        <f t="shared" si="21"/>
        <v>0</v>
      </c>
      <c r="EC10" s="1008"/>
      <c r="ED10" s="1008">
        <f t="shared" si="22"/>
        <v>7041600</v>
      </c>
    </row>
    <row r="11" spans="1:134" ht="48.75" hidden="1" customHeight="1" x14ac:dyDescent="0.25">
      <c r="A11" s="1562"/>
      <c r="B11" s="1021"/>
      <c r="C11" s="1116" t="s">
        <v>4592</v>
      </c>
      <c r="D11" s="1019" t="s">
        <v>4563</v>
      </c>
      <c r="E11" s="1020">
        <v>510</v>
      </c>
      <c r="F11" s="1120" t="s">
        <v>4660</v>
      </c>
      <c r="G11" s="1400"/>
      <c r="H11" s="1061">
        <f t="shared" si="0"/>
        <v>5190868</v>
      </c>
      <c r="I11" s="1061">
        <f t="shared" si="1"/>
        <v>9809132</v>
      </c>
      <c r="J11" s="1400"/>
      <c r="K11" s="1573"/>
      <c r="L11" s="1573"/>
      <c r="M11" s="1115">
        <v>0</v>
      </c>
      <c r="N11" s="1115">
        <v>0</v>
      </c>
      <c r="O11" s="1115">
        <v>0</v>
      </c>
      <c r="P11" s="1115">
        <v>0</v>
      </c>
      <c r="Q11" s="1115">
        <v>0</v>
      </c>
      <c r="R11" s="1115">
        <v>0</v>
      </c>
      <c r="S11" s="1120"/>
      <c r="T11" s="1120"/>
      <c r="U11" s="1120"/>
      <c r="V11" s="1120"/>
      <c r="W11" s="1120"/>
      <c r="X11" s="1120"/>
      <c r="Y11" s="1008">
        <f t="shared" si="2"/>
        <v>15000000</v>
      </c>
      <c r="Z11" s="1008"/>
      <c r="AA11" s="1008"/>
      <c r="AB11" s="1008"/>
      <c r="AC11" s="1008"/>
      <c r="AD11" s="1008"/>
      <c r="AE11" s="1008">
        <f>30000000-15000000</f>
        <v>15000000</v>
      </c>
      <c r="AF11" s="1008"/>
      <c r="AG11" s="1008"/>
      <c r="AH11" s="1008"/>
      <c r="AI11" s="1008"/>
      <c r="AJ11" s="1008"/>
      <c r="AK11" s="1008"/>
      <c r="AL11" s="1008"/>
      <c r="AM11" s="1008"/>
      <c r="AN11" s="1008"/>
      <c r="AO11" s="1008"/>
      <c r="AP11" s="1008"/>
      <c r="AQ11" s="1008"/>
      <c r="AR11" s="1008"/>
      <c r="AS11" s="1008"/>
      <c r="AU11" s="1011">
        <f t="shared" si="3"/>
        <v>0.34650226666666667</v>
      </c>
      <c r="AV11" s="1008">
        <f t="shared" si="4"/>
        <v>5197534</v>
      </c>
      <c r="AW11" s="1008"/>
      <c r="AX11" s="1008"/>
      <c r="AY11" s="1008"/>
      <c r="AZ11" s="1008"/>
      <c r="BA11" s="1008"/>
      <c r="BB11" s="1008">
        <f>+'[18]OCTUBRE 2015'!$O$2886</f>
        <v>5197534</v>
      </c>
      <c r="BC11" s="1008"/>
      <c r="BD11" s="1008"/>
      <c r="BE11" s="1008"/>
      <c r="BF11" s="1008"/>
      <c r="BG11" s="1008"/>
      <c r="BH11" s="1008"/>
      <c r="BI11" s="1008"/>
      <c r="BJ11" s="1008"/>
      <c r="BK11" s="1008"/>
      <c r="BL11" s="1008"/>
      <c r="BM11" s="1008"/>
      <c r="BN11" s="1008"/>
      <c r="BO11" s="1008"/>
      <c r="BP11" s="1008"/>
      <c r="BQ11" s="1011">
        <f t="shared" si="5"/>
        <v>0.65349773333333339</v>
      </c>
      <c r="BR11" s="1008">
        <f t="shared" si="6"/>
        <v>9802466</v>
      </c>
      <c r="BS11" s="1008">
        <f t="shared" si="7"/>
        <v>0</v>
      </c>
      <c r="BT11" s="1008">
        <f t="shared" si="8"/>
        <v>0</v>
      </c>
      <c r="BU11" s="1008"/>
      <c r="BV11" s="1008">
        <f t="shared" si="9"/>
        <v>0</v>
      </c>
      <c r="BW11" s="1008"/>
      <c r="BX11" s="1008">
        <f t="shared" si="10"/>
        <v>9802466</v>
      </c>
      <c r="BY11" s="1008">
        <f t="shared" si="10"/>
        <v>0</v>
      </c>
      <c r="BZ11" s="1008"/>
      <c r="CA11" s="1008"/>
      <c r="CB11" s="1008"/>
      <c r="CC11" s="1008"/>
      <c r="CD11" s="1008">
        <f t="shared" si="11"/>
        <v>0</v>
      </c>
      <c r="CE11" s="1008">
        <f t="shared" si="11"/>
        <v>0</v>
      </c>
      <c r="CF11" s="1008">
        <f t="shared" si="11"/>
        <v>0</v>
      </c>
      <c r="CG11" s="1008">
        <f t="shared" si="11"/>
        <v>0</v>
      </c>
      <c r="CH11" s="1008">
        <f t="shared" si="11"/>
        <v>0</v>
      </c>
      <c r="CI11" s="1008">
        <f t="shared" si="11"/>
        <v>0</v>
      </c>
      <c r="CJ11" s="1008"/>
      <c r="CK11" s="1008"/>
      <c r="CL11" s="1008">
        <f t="shared" si="12"/>
        <v>0</v>
      </c>
      <c r="CM11" s="1011">
        <f t="shared" si="13"/>
        <v>0.34605786666666666</v>
      </c>
      <c r="CN11" s="1008">
        <f t="shared" si="14"/>
        <v>5190868</v>
      </c>
      <c r="CO11" s="1008"/>
      <c r="CP11" s="1008"/>
      <c r="CQ11" s="1008"/>
      <c r="CR11" s="1008"/>
      <c r="CS11" s="1008"/>
      <c r="CT11" s="1008">
        <f>+'[18]OCTUBRE 2015'!$H$2884</f>
        <v>5190868</v>
      </c>
      <c r="CU11" s="1008"/>
      <c r="CV11" s="1008"/>
      <c r="CW11" s="1008"/>
      <c r="CX11" s="1008"/>
      <c r="CY11" s="1008"/>
      <c r="CZ11" s="1008"/>
      <c r="DA11" s="1008"/>
      <c r="DB11" s="1008"/>
      <c r="DC11" s="1008"/>
      <c r="DD11" s="1008"/>
      <c r="DE11" s="1008"/>
      <c r="DF11" s="1008"/>
      <c r="DG11" s="1008"/>
      <c r="DH11" s="1008"/>
      <c r="DI11" s="1011">
        <f t="shared" si="15"/>
        <v>0.65394213333333329</v>
      </c>
      <c r="DJ11" s="1008">
        <f t="shared" si="16"/>
        <v>9809132</v>
      </c>
      <c r="DK11" s="1008">
        <f t="shared" si="17"/>
        <v>0</v>
      </c>
      <c r="DL11" s="1008">
        <f t="shared" si="17"/>
        <v>0</v>
      </c>
      <c r="DM11" s="1008"/>
      <c r="DN11" s="1008">
        <f t="shared" si="18"/>
        <v>0</v>
      </c>
      <c r="DO11" s="1008">
        <f t="shared" si="18"/>
        <v>0</v>
      </c>
      <c r="DP11" s="1008">
        <f t="shared" si="18"/>
        <v>9809132</v>
      </c>
      <c r="DQ11" s="1008">
        <f t="shared" si="18"/>
        <v>0</v>
      </c>
      <c r="DR11" s="1008"/>
      <c r="DS11" s="1008">
        <f t="shared" si="19"/>
        <v>0</v>
      </c>
      <c r="DT11" s="1008">
        <f t="shared" si="19"/>
        <v>0</v>
      </c>
      <c r="DU11" s="1008"/>
      <c r="DV11" s="1008">
        <f t="shared" si="20"/>
        <v>0</v>
      </c>
      <c r="DW11" s="1008">
        <f t="shared" si="20"/>
        <v>0</v>
      </c>
      <c r="DX11" s="1008">
        <f t="shared" si="20"/>
        <v>0</v>
      </c>
      <c r="DY11" s="1008">
        <f t="shared" si="21"/>
        <v>0</v>
      </c>
      <c r="DZ11" s="1008">
        <f t="shared" si="21"/>
        <v>0</v>
      </c>
      <c r="EA11" s="1008">
        <f t="shared" si="21"/>
        <v>0</v>
      </c>
      <c r="EB11" s="1008">
        <f t="shared" si="21"/>
        <v>0</v>
      </c>
      <c r="EC11" s="1008"/>
      <c r="ED11" s="1008">
        <f t="shared" si="22"/>
        <v>0</v>
      </c>
    </row>
    <row r="12" spans="1:134" ht="33" hidden="1" customHeight="1" x14ac:dyDescent="0.25">
      <c r="A12" s="1562"/>
      <c r="B12" s="1021"/>
      <c r="C12" s="1116" t="s">
        <v>4593</v>
      </c>
      <c r="D12" s="1019" t="s">
        <v>4585</v>
      </c>
      <c r="E12" s="1020">
        <v>510</v>
      </c>
      <c r="F12" s="1120" t="s">
        <v>4660</v>
      </c>
      <c r="G12" s="1400"/>
      <c r="H12" s="1061">
        <f t="shared" si="0"/>
        <v>10000000</v>
      </c>
      <c r="I12" s="1061">
        <f t="shared" si="1"/>
        <v>0</v>
      </c>
      <c r="J12" s="1400"/>
      <c r="K12" s="1573"/>
      <c r="L12" s="1573"/>
      <c r="M12" s="1115">
        <v>0</v>
      </c>
      <c r="N12" s="1115">
        <v>0</v>
      </c>
      <c r="O12" s="1115">
        <v>0</v>
      </c>
      <c r="P12" s="1115">
        <v>100</v>
      </c>
      <c r="Q12" s="1115">
        <v>0</v>
      </c>
      <c r="R12" s="1115">
        <v>0</v>
      </c>
      <c r="S12" s="1120"/>
      <c r="T12" s="1120"/>
      <c r="U12" s="1120"/>
      <c r="V12" s="1120"/>
      <c r="W12" s="1120"/>
      <c r="X12" s="1120"/>
      <c r="Y12" s="1008">
        <f t="shared" si="2"/>
        <v>10000000</v>
      </c>
      <c r="Z12" s="1008"/>
      <c r="AA12" s="1008"/>
      <c r="AB12" s="1008"/>
      <c r="AC12" s="1008"/>
      <c r="AD12" s="1008"/>
      <c r="AE12" s="1008">
        <v>10000000</v>
      </c>
      <c r="AF12" s="1008"/>
      <c r="AG12" s="1008"/>
      <c r="AH12" s="1008"/>
      <c r="AI12" s="1008"/>
      <c r="AJ12" s="1008"/>
      <c r="AK12" s="1008"/>
      <c r="AL12" s="1008"/>
      <c r="AM12" s="1008"/>
      <c r="AN12" s="1008"/>
      <c r="AO12" s="1008"/>
      <c r="AP12" s="1008"/>
      <c r="AQ12" s="1008"/>
      <c r="AR12" s="1008"/>
      <c r="AS12" s="1008"/>
      <c r="AU12" s="1011">
        <f t="shared" si="3"/>
        <v>1</v>
      </c>
      <c r="AV12" s="1008">
        <f t="shared" si="4"/>
        <v>10000000</v>
      </c>
      <c r="AW12" s="1008"/>
      <c r="AX12" s="1008"/>
      <c r="AY12" s="1008"/>
      <c r="AZ12" s="1008"/>
      <c r="BA12" s="1008"/>
      <c r="BB12" s="1008">
        <f>+'[11]ABRIL 2015'!$N$1193</f>
        <v>10000000</v>
      </c>
      <c r="BC12" s="1008"/>
      <c r="BD12" s="1008"/>
      <c r="BE12" s="1008"/>
      <c r="BF12" s="1008"/>
      <c r="BG12" s="1008"/>
      <c r="BH12" s="1008"/>
      <c r="BI12" s="1008"/>
      <c r="BJ12" s="1008"/>
      <c r="BK12" s="1008"/>
      <c r="BL12" s="1008"/>
      <c r="BM12" s="1008"/>
      <c r="BN12" s="1008"/>
      <c r="BO12" s="1008"/>
      <c r="BP12" s="1008"/>
      <c r="BQ12" s="1011">
        <f t="shared" si="5"/>
        <v>0</v>
      </c>
      <c r="BR12" s="1008">
        <f t="shared" si="6"/>
        <v>0</v>
      </c>
      <c r="BS12" s="1008">
        <f t="shared" si="7"/>
        <v>0</v>
      </c>
      <c r="BT12" s="1008">
        <f t="shared" si="8"/>
        <v>0</v>
      </c>
      <c r="BU12" s="1008"/>
      <c r="BV12" s="1008">
        <f t="shared" si="9"/>
        <v>0</v>
      </c>
      <c r="BW12" s="1008"/>
      <c r="BX12" s="1008">
        <f t="shared" si="10"/>
        <v>0</v>
      </c>
      <c r="BY12" s="1008">
        <f t="shared" si="10"/>
        <v>0</v>
      </c>
      <c r="BZ12" s="1008"/>
      <c r="CA12" s="1008"/>
      <c r="CB12" s="1008"/>
      <c r="CC12" s="1008"/>
      <c r="CD12" s="1008">
        <f t="shared" si="11"/>
        <v>0</v>
      </c>
      <c r="CE12" s="1008">
        <f t="shared" si="11"/>
        <v>0</v>
      </c>
      <c r="CF12" s="1008">
        <f t="shared" si="11"/>
        <v>0</v>
      </c>
      <c r="CG12" s="1008">
        <f t="shared" si="11"/>
        <v>0</v>
      </c>
      <c r="CH12" s="1008">
        <f t="shared" si="11"/>
        <v>0</v>
      </c>
      <c r="CI12" s="1008">
        <f t="shared" si="11"/>
        <v>0</v>
      </c>
      <c r="CJ12" s="1008"/>
      <c r="CK12" s="1008"/>
      <c r="CL12" s="1008">
        <f t="shared" si="12"/>
        <v>0</v>
      </c>
      <c r="CM12" s="1011">
        <f t="shared" si="13"/>
        <v>1</v>
      </c>
      <c r="CN12" s="1008">
        <f t="shared" si="14"/>
        <v>10000000</v>
      </c>
      <c r="CO12" s="1008"/>
      <c r="CP12" s="1008"/>
      <c r="CQ12" s="1008"/>
      <c r="CR12" s="1008"/>
      <c r="CS12" s="1008"/>
      <c r="CT12" s="1008">
        <f>+'[11]ABRIL 2015'!$H$1194</f>
        <v>10000000</v>
      </c>
      <c r="CU12" s="1008"/>
      <c r="CV12" s="1008"/>
      <c r="CW12" s="1008"/>
      <c r="CX12" s="1008"/>
      <c r="CY12" s="1008"/>
      <c r="CZ12" s="1008"/>
      <c r="DA12" s="1008"/>
      <c r="DB12" s="1008"/>
      <c r="DC12" s="1008"/>
      <c r="DD12" s="1008"/>
      <c r="DE12" s="1008"/>
      <c r="DF12" s="1008"/>
      <c r="DG12" s="1008"/>
      <c r="DH12" s="1008"/>
      <c r="DI12" s="1011">
        <f t="shared" si="15"/>
        <v>0</v>
      </c>
      <c r="DJ12" s="1008">
        <f t="shared" si="16"/>
        <v>0</v>
      </c>
      <c r="DK12" s="1008">
        <f t="shared" si="17"/>
        <v>0</v>
      </c>
      <c r="DL12" s="1008">
        <f t="shared" si="17"/>
        <v>0</v>
      </c>
      <c r="DM12" s="1008"/>
      <c r="DN12" s="1008">
        <f t="shared" si="18"/>
        <v>0</v>
      </c>
      <c r="DO12" s="1008">
        <f t="shared" si="18"/>
        <v>0</v>
      </c>
      <c r="DP12" s="1008">
        <f t="shared" si="18"/>
        <v>0</v>
      </c>
      <c r="DQ12" s="1008">
        <f t="shared" si="18"/>
        <v>0</v>
      </c>
      <c r="DR12" s="1008"/>
      <c r="DS12" s="1008">
        <f t="shared" si="19"/>
        <v>0</v>
      </c>
      <c r="DT12" s="1008">
        <f t="shared" si="19"/>
        <v>0</v>
      </c>
      <c r="DU12" s="1008"/>
      <c r="DV12" s="1008">
        <f t="shared" si="20"/>
        <v>0</v>
      </c>
      <c r="DW12" s="1008">
        <f t="shared" si="20"/>
        <v>0</v>
      </c>
      <c r="DX12" s="1008">
        <f t="shared" si="20"/>
        <v>0</v>
      </c>
      <c r="DY12" s="1008">
        <f t="shared" si="21"/>
        <v>0</v>
      </c>
      <c r="DZ12" s="1008">
        <f t="shared" si="21"/>
        <v>0</v>
      </c>
      <c r="EA12" s="1008">
        <f t="shared" si="21"/>
        <v>0</v>
      </c>
      <c r="EB12" s="1008">
        <f t="shared" si="21"/>
        <v>0</v>
      </c>
      <c r="EC12" s="1008"/>
      <c r="ED12" s="1008">
        <f t="shared" si="22"/>
        <v>0</v>
      </c>
    </row>
    <row r="13" spans="1:134" ht="50.25" hidden="1" customHeight="1" x14ac:dyDescent="0.25">
      <c r="A13" s="1562"/>
      <c r="B13" s="1021"/>
      <c r="C13" s="1116" t="s">
        <v>4594</v>
      </c>
      <c r="D13" s="1019" t="s">
        <v>4564</v>
      </c>
      <c r="E13" s="1020">
        <v>510</v>
      </c>
      <c r="F13" s="1120" t="s">
        <v>4660</v>
      </c>
      <c r="G13" s="1400"/>
      <c r="H13" s="1061">
        <f t="shared" si="0"/>
        <v>8601149</v>
      </c>
      <c r="I13" s="1061">
        <f t="shared" si="1"/>
        <v>21398851</v>
      </c>
      <c r="J13" s="1400"/>
      <c r="K13" s="1573"/>
      <c r="L13" s="1573"/>
      <c r="M13" s="1115">
        <v>0</v>
      </c>
      <c r="N13" s="1115">
        <v>0</v>
      </c>
      <c r="O13" s="1115">
        <v>0</v>
      </c>
      <c r="P13" s="1115">
        <v>0</v>
      </c>
      <c r="Q13" s="1115">
        <v>0</v>
      </c>
      <c r="R13" s="1115">
        <v>0</v>
      </c>
      <c r="S13" s="1120"/>
      <c r="T13" s="1120"/>
      <c r="U13" s="1120"/>
      <c r="V13" s="1120"/>
      <c r="W13" s="1120"/>
      <c r="X13" s="1120"/>
      <c r="Y13" s="1008">
        <f t="shared" si="2"/>
        <v>30000000</v>
      </c>
      <c r="Z13" s="1008"/>
      <c r="AA13" s="1008"/>
      <c r="AB13" s="1008"/>
      <c r="AC13" s="1008"/>
      <c r="AD13" s="1008"/>
      <c r="AE13" s="1008">
        <v>30000000</v>
      </c>
      <c r="AF13" s="1008"/>
      <c r="AG13" s="1008"/>
      <c r="AH13" s="1008"/>
      <c r="AI13" s="1008"/>
      <c r="AJ13" s="1008"/>
      <c r="AK13" s="1008"/>
      <c r="AL13" s="1008"/>
      <c r="AM13" s="1008"/>
      <c r="AN13" s="1008"/>
      <c r="AO13" s="1008"/>
      <c r="AP13" s="1008"/>
      <c r="AQ13" s="1008"/>
      <c r="AR13" s="1008"/>
      <c r="AS13" s="1008"/>
      <c r="AU13" s="1011">
        <f t="shared" si="3"/>
        <v>0.38755830000000002</v>
      </c>
      <c r="AV13" s="1008">
        <f t="shared" si="4"/>
        <v>11626749</v>
      </c>
      <c r="AW13" s="1008"/>
      <c r="AX13" s="1008"/>
      <c r="AY13" s="1008"/>
      <c r="AZ13" s="1008"/>
      <c r="BA13" s="1008"/>
      <c r="BB13" s="1008">
        <f>+'[18]OCTUBRE 2015'!$O$2905</f>
        <v>11626749</v>
      </c>
      <c r="BC13" s="1008"/>
      <c r="BD13" s="1008"/>
      <c r="BE13" s="1008"/>
      <c r="BF13" s="1008"/>
      <c r="BG13" s="1008"/>
      <c r="BH13" s="1008"/>
      <c r="BI13" s="1008"/>
      <c r="BJ13" s="1008"/>
      <c r="BK13" s="1008"/>
      <c r="BL13" s="1008"/>
      <c r="BM13" s="1008"/>
      <c r="BN13" s="1008"/>
      <c r="BO13" s="1008"/>
      <c r="BP13" s="1008"/>
      <c r="BQ13" s="1011">
        <f t="shared" si="5"/>
        <v>0.61244169999999998</v>
      </c>
      <c r="BR13" s="1008">
        <f t="shared" si="6"/>
        <v>18373251</v>
      </c>
      <c r="BS13" s="1008">
        <f t="shared" si="7"/>
        <v>0</v>
      </c>
      <c r="BT13" s="1008">
        <f t="shared" si="8"/>
        <v>0</v>
      </c>
      <c r="BU13" s="1008"/>
      <c r="BV13" s="1008">
        <f t="shared" si="9"/>
        <v>0</v>
      </c>
      <c r="BW13" s="1008"/>
      <c r="BX13" s="1008">
        <f t="shared" si="10"/>
        <v>18373251</v>
      </c>
      <c r="BY13" s="1008">
        <f t="shared" si="10"/>
        <v>0</v>
      </c>
      <c r="BZ13" s="1008"/>
      <c r="CA13" s="1008"/>
      <c r="CB13" s="1008"/>
      <c r="CC13" s="1008"/>
      <c r="CD13" s="1008">
        <f t="shared" si="11"/>
        <v>0</v>
      </c>
      <c r="CE13" s="1008">
        <f t="shared" si="11"/>
        <v>0</v>
      </c>
      <c r="CF13" s="1008">
        <f t="shared" si="11"/>
        <v>0</v>
      </c>
      <c r="CG13" s="1008">
        <f t="shared" si="11"/>
        <v>0</v>
      </c>
      <c r="CH13" s="1008">
        <f t="shared" si="11"/>
        <v>0</v>
      </c>
      <c r="CI13" s="1008">
        <f t="shared" si="11"/>
        <v>0</v>
      </c>
      <c r="CJ13" s="1008"/>
      <c r="CK13" s="1008"/>
      <c r="CL13" s="1008">
        <f t="shared" si="12"/>
        <v>0</v>
      </c>
      <c r="CM13" s="1011">
        <f t="shared" si="13"/>
        <v>0.28670496666666667</v>
      </c>
      <c r="CN13" s="1008">
        <f t="shared" si="14"/>
        <v>8601149</v>
      </c>
      <c r="CO13" s="1008"/>
      <c r="CP13" s="1008"/>
      <c r="CQ13" s="1008"/>
      <c r="CR13" s="1008"/>
      <c r="CS13" s="1008"/>
      <c r="CT13" s="1008">
        <f>+'[18]OCTUBRE 2015'!$H$2903</f>
        <v>8601149</v>
      </c>
      <c r="CU13" s="1008"/>
      <c r="CV13" s="1008"/>
      <c r="CW13" s="1008"/>
      <c r="CX13" s="1008"/>
      <c r="CY13" s="1008"/>
      <c r="CZ13" s="1008"/>
      <c r="DA13" s="1008"/>
      <c r="DB13" s="1008"/>
      <c r="DC13" s="1008"/>
      <c r="DD13" s="1008"/>
      <c r="DE13" s="1008"/>
      <c r="DF13" s="1008"/>
      <c r="DG13" s="1008"/>
      <c r="DH13" s="1008"/>
      <c r="DI13" s="1011">
        <f t="shared" si="15"/>
        <v>0.71329503333333333</v>
      </c>
      <c r="DJ13" s="1008">
        <f t="shared" si="16"/>
        <v>21398851</v>
      </c>
      <c r="DK13" s="1008">
        <f t="shared" si="17"/>
        <v>0</v>
      </c>
      <c r="DL13" s="1008">
        <f t="shared" si="17"/>
        <v>0</v>
      </c>
      <c r="DM13" s="1008"/>
      <c r="DN13" s="1008">
        <f t="shared" si="18"/>
        <v>0</v>
      </c>
      <c r="DO13" s="1008">
        <f t="shared" si="18"/>
        <v>0</v>
      </c>
      <c r="DP13" s="1008">
        <f t="shared" si="18"/>
        <v>21398851</v>
      </c>
      <c r="DQ13" s="1008">
        <f t="shared" si="18"/>
        <v>0</v>
      </c>
      <c r="DR13" s="1008"/>
      <c r="DS13" s="1008">
        <f t="shared" si="19"/>
        <v>0</v>
      </c>
      <c r="DT13" s="1008">
        <f t="shared" si="19"/>
        <v>0</v>
      </c>
      <c r="DU13" s="1008"/>
      <c r="DV13" s="1008">
        <f t="shared" si="20"/>
        <v>0</v>
      </c>
      <c r="DW13" s="1008">
        <f t="shared" si="20"/>
        <v>0</v>
      </c>
      <c r="DX13" s="1008">
        <f t="shared" si="20"/>
        <v>0</v>
      </c>
      <c r="DY13" s="1008">
        <f t="shared" si="21"/>
        <v>0</v>
      </c>
      <c r="DZ13" s="1008">
        <f t="shared" si="21"/>
        <v>0</v>
      </c>
      <c r="EA13" s="1008">
        <f t="shared" si="21"/>
        <v>0</v>
      </c>
      <c r="EB13" s="1008">
        <f t="shared" si="21"/>
        <v>0</v>
      </c>
      <c r="EC13" s="1008"/>
      <c r="ED13" s="1008">
        <f t="shared" si="22"/>
        <v>0</v>
      </c>
    </row>
    <row r="14" spans="1:134" ht="39" hidden="1" customHeight="1" x14ac:dyDescent="0.25">
      <c r="A14" s="1562"/>
      <c r="B14" s="1021"/>
      <c r="C14" s="1116" t="s">
        <v>4595</v>
      </c>
      <c r="D14" s="1019" t="s">
        <v>4565</v>
      </c>
      <c r="E14" s="1020">
        <v>510</v>
      </c>
      <c r="F14" s="1120" t="s">
        <v>4660</v>
      </c>
      <c r="G14" s="1400"/>
      <c r="H14" s="1061">
        <f t="shared" si="0"/>
        <v>0</v>
      </c>
      <c r="I14" s="1061">
        <f t="shared" si="1"/>
        <v>15000000</v>
      </c>
      <c r="J14" s="1400"/>
      <c r="K14" s="1573"/>
      <c r="L14" s="1573"/>
      <c r="M14" s="1115">
        <v>0</v>
      </c>
      <c r="N14" s="1115">
        <v>0</v>
      </c>
      <c r="O14" s="1115">
        <v>0</v>
      </c>
      <c r="P14" s="1115">
        <v>0</v>
      </c>
      <c r="Q14" s="1115">
        <v>0</v>
      </c>
      <c r="R14" s="1115">
        <v>0</v>
      </c>
      <c r="S14" s="1120"/>
      <c r="T14" s="1120"/>
      <c r="U14" s="1120"/>
      <c r="V14" s="1120"/>
      <c r="W14" s="1120"/>
      <c r="X14" s="1120"/>
      <c r="Y14" s="1008">
        <f t="shared" si="2"/>
        <v>15000000</v>
      </c>
      <c r="Z14" s="1008"/>
      <c r="AA14" s="1008"/>
      <c r="AB14" s="1008"/>
      <c r="AC14" s="1008"/>
      <c r="AD14" s="1008"/>
      <c r="AE14" s="1008">
        <v>15000000</v>
      </c>
      <c r="AF14" s="1008"/>
      <c r="AG14" s="1008"/>
      <c r="AH14" s="1008"/>
      <c r="AI14" s="1008"/>
      <c r="AJ14" s="1008"/>
      <c r="AK14" s="1008"/>
      <c r="AL14" s="1008"/>
      <c r="AM14" s="1008"/>
      <c r="AN14" s="1008"/>
      <c r="AO14" s="1008"/>
      <c r="AP14" s="1008"/>
      <c r="AQ14" s="1008"/>
      <c r="AR14" s="1008"/>
      <c r="AS14" s="1008"/>
      <c r="AU14" s="1011">
        <f t="shared" si="3"/>
        <v>0</v>
      </c>
      <c r="AV14" s="1008">
        <f t="shared" si="4"/>
        <v>0</v>
      </c>
      <c r="AW14" s="1008"/>
      <c r="AX14" s="1008"/>
      <c r="AY14" s="1008"/>
      <c r="AZ14" s="1008"/>
      <c r="BA14" s="1008"/>
      <c r="BB14" s="1008"/>
      <c r="BC14" s="1008"/>
      <c r="BD14" s="1008"/>
      <c r="BE14" s="1008"/>
      <c r="BF14" s="1008"/>
      <c r="BG14" s="1008"/>
      <c r="BH14" s="1008"/>
      <c r="BI14" s="1008"/>
      <c r="BJ14" s="1008"/>
      <c r="BK14" s="1008"/>
      <c r="BL14" s="1008"/>
      <c r="BM14" s="1008"/>
      <c r="BN14" s="1008"/>
      <c r="BO14" s="1008"/>
      <c r="BP14" s="1008"/>
      <c r="BQ14" s="1011">
        <f t="shared" si="5"/>
        <v>1</v>
      </c>
      <c r="BR14" s="1008">
        <f t="shared" si="6"/>
        <v>15000000</v>
      </c>
      <c r="BS14" s="1008">
        <f t="shared" si="7"/>
        <v>0</v>
      </c>
      <c r="BT14" s="1008">
        <f t="shared" si="8"/>
        <v>0</v>
      </c>
      <c r="BU14" s="1008"/>
      <c r="BV14" s="1008">
        <f t="shared" si="9"/>
        <v>0</v>
      </c>
      <c r="BW14" s="1008"/>
      <c r="BX14" s="1008">
        <f t="shared" si="10"/>
        <v>15000000</v>
      </c>
      <c r="BY14" s="1008">
        <f t="shared" si="10"/>
        <v>0</v>
      </c>
      <c r="BZ14" s="1008"/>
      <c r="CA14" s="1008"/>
      <c r="CB14" s="1008"/>
      <c r="CC14" s="1008"/>
      <c r="CD14" s="1008">
        <f t="shared" si="11"/>
        <v>0</v>
      </c>
      <c r="CE14" s="1008">
        <f t="shared" si="11"/>
        <v>0</v>
      </c>
      <c r="CF14" s="1008">
        <f t="shared" si="11"/>
        <v>0</v>
      </c>
      <c r="CG14" s="1008">
        <f t="shared" si="11"/>
        <v>0</v>
      </c>
      <c r="CH14" s="1008">
        <f t="shared" si="11"/>
        <v>0</v>
      </c>
      <c r="CI14" s="1008">
        <f t="shared" si="11"/>
        <v>0</v>
      </c>
      <c r="CJ14" s="1008"/>
      <c r="CK14" s="1008"/>
      <c r="CL14" s="1008">
        <f t="shared" si="12"/>
        <v>0</v>
      </c>
      <c r="CM14" s="1011">
        <f t="shared" si="13"/>
        <v>0</v>
      </c>
      <c r="CN14" s="1008">
        <f t="shared" si="14"/>
        <v>0</v>
      </c>
      <c r="CO14" s="1008"/>
      <c r="CP14" s="1008"/>
      <c r="CQ14" s="1008"/>
      <c r="CR14" s="1008"/>
      <c r="CS14" s="1008"/>
      <c r="CT14" s="1008"/>
      <c r="CU14" s="1008"/>
      <c r="CV14" s="1008"/>
      <c r="CW14" s="1008"/>
      <c r="CX14" s="1008"/>
      <c r="CY14" s="1008"/>
      <c r="CZ14" s="1008"/>
      <c r="DA14" s="1008"/>
      <c r="DB14" s="1008"/>
      <c r="DC14" s="1008"/>
      <c r="DD14" s="1008"/>
      <c r="DE14" s="1008"/>
      <c r="DF14" s="1008"/>
      <c r="DG14" s="1008"/>
      <c r="DH14" s="1008"/>
      <c r="DI14" s="1011">
        <f t="shared" si="15"/>
        <v>1</v>
      </c>
      <c r="DJ14" s="1008">
        <f t="shared" si="16"/>
        <v>15000000</v>
      </c>
      <c r="DK14" s="1008">
        <f t="shared" si="17"/>
        <v>0</v>
      </c>
      <c r="DL14" s="1008">
        <f t="shared" si="17"/>
        <v>0</v>
      </c>
      <c r="DM14" s="1008"/>
      <c r="DN14" s="1008">
        <f t="shared" si="18"/>
        <v>0</v>
      </c>
      <c r="DO14" s="1008">
        <f t="shared" si="18"/>
        <v>0</v>
      </c>
      <c r="DP14" s="1008">
        <f t="shared" si="18"/>
        <v>15000000</v>
      </c>
      <c r="DQ14" s="1008">
        <f t="shared" si="18"/>
        <v>0</v>
      </c>
      <c r="DR14" s="1008"/>
      <c r="DS14" s="1008">
        <f t="shared" si="19"/>
        <v>0</v>
      </c>
      <c r="DT14" s="1008">
        <f t="shared" si="19"/>
        <v>0</v>
      </c>
      <c r="DU14" s="1008"/>
      <c r="DV14" s="1008">
        <f t="shared" si="20"/>
        <v>0</v>
      </c>
      <c r="DW14" s="1008">
        <f t="shared" si="20"/>
        <v>0</v>
      </c>
      <c r="DX14" s="1008">
        <f t="shared" si="20"/>
        <v>0</v>
      </c>
      <c r="DY14" s="1008">
        <f t="shared" si="21"/>
        <v>0</v>
      </c>
      <c r="DZ14" s="1008">
        <f t="shared" si="21"/>
        <v>0</v>
      </c>
      <c r="EA14" s="1008">
        <f t="shared" si="21"/>
        <v>0</v>
      </c>
      <c r="EB14" s="1008">
        <f t="shared" si="21"/>
        <v>0</v>
      </c>
      <c r="EC14" s="1008"/>
      <c r="ED14" s="1008">
        <f t="shared" si="22"/>
        <v>0</v>
      </c>
    </row>
    <row r="15" spans="1:134" ht="34.5" hidden="1" customHeight="1" x14ac:dyDescent="0.25">
      <c r="A15" s="1562"/>
      <c r="B15" s="1021"/>
      <c r="C15" s="1116" t="s">
        <v>4596</v>
      </c>
      <c r="D15" s="1019" t="s">
        <v>4586</v>
      </c>
      <c r="E15" s="1020">
        <v>510</v>
      </c>
      <c r="F15" s="1120" t="s">
        <v>4660</v>
      </c>
      <c r="G15" s="1400"/>
      <c r="H15" s="1061">
        <f t="shared" si="0"/>
        <v>0</v>
      </c>
      <c r="I15" s="1061">
        <f t="shared" si="1"/>
        <v>10000000</v>
      </c>
      <c r="J15" s="1400"/>
      <c r="K15" s="1573"/>
      <c r="L15" s="1573"/>
      <c r="M15" s="1115">
        <v>0</v>
      </c>
      <c r="N15" s="1115">
        <v>0</v>
      </c>
      <c r="O15" s="1115">
        <v>0</v>
      </c>
      <c r="P15" s="1115">
        <v>0</v>
      </c>
      <c r="Q15" s="1115">
        <v>0</v>
      </c>
      <c r="R15" s="1115">
        <v>0</v>
      </c>
      <c r="S15" s="1120"/>
      <c r="T15" s="1120"/>
      <c r="U15" s="1120"/>
      <c r="V15" s="1120"/>
      <c r="W15" s="1120"/>
      <c r="X15" s="1120"/>
      <c r="Y15" s="1008">
        <f t="shared" si="2"/>
        <v>10000000</v>
      </c>
      <c r="Z15" s="1008"/>
      <c r="AA15" s="1008"/>
      <c r="AB15" s="1008"/>
      <c r="AC15" s="1008"/>
      <c r="AD15" s="1008"/>
      <c r="AE15" s="1008">
        <v>10000000</v>
      </c>
      <c r="AF15" s="1008"/>
      <c r="AG15" s="1008"/>
      <c r="AH15" s="1008"/>
      <c r="AI15" s="1008"/>
      <c r="AJ15" s="1008"/>
      <c r="AK15" s="1008"/>
      <c r="AL15" s="1008"/>
      <c r="AM15" s="1008"/>
      <c r="AN15" s="1008"/>
      <c r="AO15" s="1008"/>
      <c r="AP15" s="1008"/>
      <c r="AQ15" s="1008"/>
      <c r="AR15" s="1008"/>
      <c r="AS15" s="1008"/>
      <c r="AU15" s="1011">
        <f t="shared" si="3"/>
        <v>0</v>
      </c>
      <c r="AV15" s="1008">
        <f t="shared" si="4"/>
        <v>0</v>
      </c>
      <c r="AW15" s="1008"/>
      <c r="AX15" s="1008"/>
      <c r="AY15" s="1008"/>
      <c r="AZ15" s="1008"/>
      <c r="BA15" s="1008"/>
      <c r="BB15" s="1008"/>
      <c r="BC15" s="1008"/>
      <c r="BD15" s="1008"/>
      <c r="BE15" s="1008"/>
      <c r="BF15" s="1008"/>
      <c r="BG15" s="1008"/>
      <c r="BH15" s="1008"/>
      <c r="BI15" s="1008"/>
      <c r="BJ15" s="1008"/>
      <c r="BK15" s="1008"/>
      <c r="BL15" s="1008"/>
      <c r="BM15" s="1008"/>
      <c r="BN15" s="1008"/>
      <c r="BO15" s="1008"/>
      <c r="BP15" s="1008"/>
      <c r="BQ15" s="1011">
        <f t="shared" si="5"/>
        <v>1</v>
      </c>
      <c r="BR15" s="1008">
        <f t="shared" si="6"/>
        <v>10000000</v>
      </c>
      <c r="BS15" s="1008">
        <f t="shared" si="7"/>
        <v>0</v>
      </c>
      <c r="BT15" s="1008">
        <f t="shared" si="8"/>
        <v>0</v>
      </c>
      <c r="BU15" s="1008"/>
      <c r="BV15" s="1008">
        <f t="shared" si="9"/>
        <v>0</v>
      </c>
      <c r="BW15" s="1008"/>
      <c r="BX15" s="1008">
        <f t="shared" si="10"/>
        <v>10000000</v>
      </c>
      <c r="BY15" s="1008">
        <f t="shared" si="10"/>
        <v>0</v>
      </c>
      <c r="BZ15" s="1008"/>
      <c r="CA15" s="1008"/>
      <c r="CB15" s="1008"/>
      <c r="CC15" s="1008"/>
      <c r="CD15" s="1008">
        <f t="shared" si="11"/>
        <v>0</v>
      </c>
      <c r="CE15" s="1008">
        <f t="shared" si="11"/>
        <v>0</v>
      </c>
      <c r="CF15" s="1008">
        <f t="shared" si="11"/>
        <v>0</v>
      </c>
      <c r="CG15" s="1008">
        <f t="shared" si="11"/>
        <v>0</v>
      </c>
      <c r="CH15" s="1008">
        <f t="shared" si="11"/>
        <v>0</v>
      </c>
      <c r="CI15" s="1008">
        <f t="shared" si="11"/>
        <v>0</v>
      </c>
      <c r="CJ15" s="1008"/>
      <c r="CK15" s="1008"/>
      <c r="CL15" s="1008">
        <f t="shared" si="12"/>
        <v>0</v>
      </c>
      <c r="CM15" s="1011">
        <f t="shared" si="13"/>
        <v>0</v>
      </c>
      <c r="CN15" s="1008">
        <f t="shared" si="14"/>
        <v>0</v>
      </c>
      <c r="CO15" s="1008"/>
      <c r="CP15" s="1008"/>
      <c r="CQ15" s="1008"/>
      <c r="CR15" s="1008"/>
      <c r="CS15" s="1008"/>
      <c r="CT15" s="1008"/>
      <c r="CU15" s="1008"/>
      <c r="CV15" s="1008"/>
      <c r="CW15" s="1008"/>
      <c r="CX15" s="1008"/>
      <c r="CY15" s="1008"/>
      <c r="CZ15" s="1008"/>
      <c r="DA15" s="1008"/>
      <c r="DB15" s="1008"/>
      <c r="DC15" s="1008"/>
      <c r="DD15" s="1008"/>
      <c r="DE15" s="1008"/>
      <c r="DF15" s="1008"/>
      <c r="DG15" s="1008"/>
      <c r="DH15" s="1008"/>
      <c r="DI15" s="1011">
        <f t="shared" si="15"/>
        <v>1</v>
      </c>
      <c r="DJ15" s="1008">
        <f t="shared" si="16"/>
        <v>10000000</v>
      </c>
      <c r="DK15" s="1008">
        <f t="shared" si="17"/>
        <v>0</v>
      </c>
      <c r="DL15" s="1008">
        <f t="shared" si="17"/>
        <v>0</v>
      </c>
      <c r="DM15" s="1008"/>
      <c r="DN15" s="1008">
        <f t="shared" si="18"/>
        <v>0</v>
      </c>
      <c r="DO15" s="1008">
        <f t="shared" si="18"/>
        <v>0</v>
      </c>
      <c r="DP15" s="1008">
        <f t="shared" si="18"/>
        <v>10000000</v>
      </c>
      <c r="DQ15" s="1008">
        <f t="shared" si="18"/>
        <v>0</v>
      </c>
      <c r="DR15" s="1008"/>
      <c r="DS15" s="1008">
        <f t="shared" si="19"/>
        <v>0</v>
      </c>
      <c r="DT15" s="1008">
        <f t="shared" si="19"/>
        <v>0</v>
      </c>
      <c r="DU15" s="1008"/>
      <c r="DV15" s="1008">
        <f t="shared" si="20"/>
        <v>0</v>
      </c>
      <c r="DW15" s="1008">
        <f t="shared" si="20"/>
        <v>0</v>
      </c>
      <c r="DX15" s="1008">
        <f t="shared" si="20"/>
        <v>0</v>
      </c>
      <c r="DY15" s="1008">
        <f t="shared" si="21"/>
        <v>0</v>
      </c>
      <c r="DZ15" s="1008">
        <f t="shared" si="21"/>
        <v>0</v>
      </c>
      <c r="EA15" s="1008">
        <f t="shared" si="21"/>
        <v>0</v>
      </c>
      <c r="EB15" s="1008">
        <f t="shared" si="21"/>
        <v>0</v>
      </c>
      <c r="EC15" s="1008"/>
      <c r="ED15" s="1008">
        <f t="shared" si="22"/>
        <v>0</v>
      </c>
    </row>
    <row r="16" spans="1:134" s="203" customFormat="1" ht="29.25" hidden="1" customHeight="1" x14ac:dyDescent="0.25">
      <c r="A16" s="1562"/>
      <c r="B16" s="1080"/>
      <c r="C16" s="1081" t="s">
        <v>4685</v>
      </c>
      <c r="D16" s="1019" t="s">
        <v>4697</v>
      </c>
      <c r="E16" s="1020">
        <v>510</v>
      </c>
      <c r="F16" s="1120" t="s">
        <v>4660</v>
      </c>
      <c r="G16" s="1401"/>
      <c r="H16" s="1061">
        <f t="shared" si="0"/>
        <v>0</v>
      </c>
      <c r="I16" s="1061">
        <f t="shared" si="1"/>
        <v>0</v>
      </c>
      <c r="J16" s="1401"/>
      <c r="K16" s="1284"/>
      <c r="L16" s="1284"/>
      <c r="M16" s="1075">
        <v>0</v>
      </c>
      <c r="N16" s="1075">
        <v>0</v>
      </c>
      <c r="O16" s="1075">
        <v>0</v>
      </c>
      <c r="P16" s="1075"/>
      <c r="Q16" s="1075"/>
      <c r="R16" s="1075"/>
      <c r="S16" s="1120"/>
      <c r="T16" s="1120"/>
      <c r="U16" s="1120"/>
      <c r="V16" s="1120"/>
      <c r="W16" s="1120"/>
      <c r="X16" s="1120"/>
      <c r="Y16" s="1067">
        <f t="shared" si="2"/>
        <v>0</v>
      </c>
      <c r="Z16" s="1067"/>
      <c r="AA16" s="1067"/>
      <c r="AB16" s="1067"/>
      <c r="AC16" s="1067"/>
      <c r="AD16" s="1067"/>
      <c r="AE16" s="1067"/>
      <c r="AF16" s="1067"/>
      <c r="AG16" s="1067"/>
      <c r="AH16" s="1067"/>
      <c r="AI16" s="1067"/>
      <c r="AJ16" s="1067"/>
      <c r="AK16" s="1067"/>
      <c r="AL16" s="1067"/>
      <c r="AM16" s="1067"/>
      <c r="AN16" s="1067">
        <f>100000000-100000000</f>
        <v>0</v>
      </c>
      <c r="AO16" s="1067"/>
      <c r="AP16" s="1067"/>
      <c r="AQ16" s="1067"/>
      <c r="AR16" s="1067"/>
      <c r="AS16" s="1067"/>
      <c r="AU16" s="1082">
        <v>0</v>
      </c>
      <c r="AV16" s="1067">
        <f t="shared" si="4"/>
        <v>0</v>
      </c>
      <c r="AW16" s="1067"/>
      <c r="AX16" s="1067"/>
      <c r="AY16" s="1067"/>
      <c r="AZ16" s="1067"/>
      <c r="BA16" s="1067"/>
      <c r="BB16" s="1067"/>
      <c r="BC16" s="1067"/>
      <c r="BD16" s="1067"/>
      <c r="BE16" s="1067"/>
      <c r="BF16" s="1067"/>
      <c r="BG16" s="1067"/>
      <c r="BH16" s="1067"/>
      <c r="BI16" s="1067"/>
      <c r="BJ16" s="1067"/>
      <c r="BK16" s="1067"/>
      <c r="BL16" s="1067"/>
      <c r="BM16" s="1067"/>
      <c r="BN16" s="1067"/>
      <c r="BO16" s="1067"/>
      <c r="BP16" s="1067"/>
      <c r="BQ16" s="1082">
        <v>0</v>
      </c>
      <c r="BR16" s="1067">
        <f t="shared" si="6"/>
        <v>0</v>
      </c>
      <c r="BS16" s="1067">
        <f t="shared" si="7"/>
        <v>0</v>
      </c>
      <c r="BT16" s="1067">
        <f t="shared" si="8"/>
        <v>0</v>
      </c>
      <c r="BU16" s="1067"/>
      <c r="BV16" s="1067">
        <f t="shared" si="9"/>
        <v>0</v>
      </c>
      <c r="BW16" s="1067"/>
      <c r="BX16" s="1067">
        <f t="shared" si="10"/>
        <v>0</v>
      </c>
      <c r="BY16" s="1067">
        <f t="shared" si="10"/>
        <v>0</v>
      </c>
      <c r="BZ16" s="1067"/>
      <c r="CA16" s="1067"/>
      <c r="CB16" s="1067"/>
      <c r="CC16" s="1067"/>
      <c r="CD16" s="1067">
        <f t="shared" si="11"/>
        <v>0</v>
      </c>
      <c r="CE16" s="1067">
        <f t="shared" si="11"/>
        <v>0</v>
      </c>
      <c r="CF16" s="1067">
        <f t="shared" si="11"/>
        <v>0</v>
      </c>
      <c r="CG16" s="1067">
        <f t="shared" si="11"/>
        <v>0</v>
      </c>
      <c r="CH16" s="1067">
        <f t="shared" si="11"/>
        <v>0</v>
      </c>
      <c r="CI16" s="1067">
        <f t="shared" si="11"/>
        <v>0</v>
      </c>
      <c r="CJ16" s="1067"/>
      <c r="CK16" s="1067"/>
      <c r="CL16" s="1067">
        <f t="shared" si="12"/>
        <v>0</v>
      </c>
      <c r="CM16" s="1082">
        <v>0</v>
      </c>
      <c r="CN16" s="1067">
        <f t="shared" si="14"/>
        <v>0</v>
      </c>
      <c r="CO16" s="1067"/>
      <c r="CP16" s="1067"/>
      <c r="CQ16" s="1067"/>
      <c r="CR16" s="1067"/>
      <c r="CS16" s="1067"/>
      <c r="CT16" s="1067"/>
      <c r="CU16" s="1067"/>
      <c r="CV16" s="1067"/>
      <c r="CW16" s="1067"/>
      <c r="CX16" s="1067"/>
      <c r="CY16" s="1067"/>
      <c r="CZ16" s="1067"/>
      <c r="DA16" s="1067"/>
      <c r="DB16" s="1067"/>
      <c r="DC16" s="1067"/>
      <c r="DD16" s="1067"/>
      <c r="DE16" s="1067"/>
      <c r="DF16" s="1067"/>
      <c r="DG16" s="1067"/>
      <c r="DH16" s="1067"/>
      <c r="DI16" s="1082">
        <v>0</v>
      </c>
      <c r="DJ16" s="1067">
        <f t="shared" si="16"/>
        <v>0</v>
      </c>
      <c r="DK16" s="1067">
        <f t="shared" si="17"/>
        <v>0</v>
      </c>
      <c r="DL16" s="1067">
        <f t="shared" si="17"/>
        <v>0</v>
      </c>
      <c r="DM16" s="1067"/>
      <c r="DN16" s="1067">
        <f t="shared" si="18"/>
        <v>0</v>
      </c>
      <c r="DO16" s="1067">
        <f t="shared" si="18"/>
        <v>0</v>
      </c>
      <c r="DP16" s="1067">
        <f t="shared" si="18"/>
        <v>0</v>
      </c>
      <c r="DQ16" s="1067">
        <f t="shared" si="18"/>
        <v>0</v>
      </c>
      <c r="DR16" s="1067"/>
      <c r="DS16" s="1067">
        <f t="shared" si="19"/>
        <v>0</v>
      </c>
      <c r="DT16" s="1067">
        <f t="shared" si="19"/>
        <v>0</v>
      </c>
      <c r="DU16" s="1067"/>
      <c r="DV16" s="1067">
        <f t="shared" si="20"/>
        <v>0</v>
      </c>
      <c r="DW16" s="1067">
        <f t="shared" si="20"/>
        <v>0</v>
      </c>
      <c r="DX16" s="1067">
        <f t="shared" si="20"/>
        <v>0</v>
      </c>
      <c r="DY16" s="1067">
        <f t="shared" si="21"/>
        <v>0</v>
      </c>
      <c r="DZ16" s="1067">
        <f t="shared" si="21"/>
        <v>0</v>
      </c>
      <c r="EA16" s="1067">
        <f t="shared" si="21"/>
        <v>0</v>
      </c>
      <c r="EB16" s="1067">
        <f t="shared" si="21"/>
        <v>0</v>
      </c>
      <c r="EC16" s="1067"/>
      <c r="ED16" s="1067">
        <f t="shared" si="22"/>
        <v>0</v>
      </c>
    </row>
    <row r="17" spans="1:134" ht="66.75" hidden="1" customHeight="1" x14ac:dyDescent="0.25">
      <c r="A17" s="1562"/>
      <c r="B17" s="1065" t="s">
        <v>4301</v>
      </c>
      <c r="C17" s="1116" t="s">
        <v>4399</v>
      </c>
      <c r="D17" s="1019" t="s">
        <v>4683</v>
      </c>
      <c r="E17" s="1020">
        <v>310</v>
      </c>
      <c r="F17" s="1120" t="s">
        <v>4728</v>
      </c>
      <c r="G17" s="1399">
        <v>916000000</v>
      </c>
      <c r="H17" s="1061">
        <f t="shared" si="0"/>
        <v>374231666</v>
      </c>
      <c r="I17" s="1061">
        <f t="shared" si="1"/>
        <v>135691953</v>
      </c>
      <c r="J17" s="1399" t="s">
        <v>4763</v>
      </c>
      <c r="K17" s="1283" t="s">
        <v>4765</v>
      </c>
      <c r="L17" s="1283" t="s">
        <v>4764</v>
      </c>
      <c r="M17" s="1115">
        <v>12</v>
      </c>
      <c r="N17" s="1115">
        <v>0</v>
      </c>
      <c r="O17" s="1115">
        <v>0</v>
      </c>
      <c r="P17" s="1115">
        <v>16</v>
      </c>
      <c r="Q17" s="1115">
        <v>25</v>
      </c>
      <c r="R17" s="1115">
        <v>4</v>
      </c>
      <c r="S17" s="1124"/>
      <c r="T17" s="1124"/>
      <c r="U17" s="1124"/>
      <c r="V17" s="1124"/>
      <c r="W17" s="1124"/>
      <c r="X17" s="1124"/>
      <c r="Y17" s="1008">
        <f t="shared" si="2"/>
        <v>509923619</v>
      </c>
      <c r="Z17" s="1008"/>
      <c r="AA17" s="1008"/>
      <c r="AB17" s="1008"/>
      <c r="AC17" s="1008"/>
      <c r="AD17" s="1008"/>
      <c r="AE17" s="1008">
        <v>390000000</v>
      </c>
      <c r="AF17" s="1008"/>
      <c r="AG17" s="1008"/>
      <c r="AH17" s="1008"/>
      <c r="AI17" s="1008"/>
      <c r="AJ17" s="1008"/>
      <c r="AK17" s="1008"/>
      <c r="AL17" s="1008"/>
      <c r="AM17" s="1008"/>
      <c r="AN17" s="1008">
        <f>150000000-125000000</f>
        <v>25000000</v>
      </c>
      <c r="AO17" s="1008"/>
      <c r="AP17" s="1008"/>
      <c r="AQ17" s="1008"/>
      <c r="AR17" s="1008"/>
      <c r="AS17" s="1008">
        <f>12388298+18001909+6000000+20000000+3962083+17271329+17300000</f>
        <v>94923619</v>
      </c>
      <c r="AU17" s="1011">
        <f t="shared" si="3"/>
        <v>0.78230347278736267</v>
      </c>
      <c r="AV17" s="1008">
        <f t="shared" si="4"/>
        <v>398915018</v>
      </c>
      <c r="AW17" s="1008"/>
      <c r="AX17" s="1008"/>
      <c r="AY17" s="1008"/>
      <c r="AZ17" s="1008"/>
      <c r="BA17" s="1008"/>
      <c r="BB17" s="1008">
        <f>+'[18]OCTUBRE 2015'!$O$492</f>
        <v>309006302</v>
      </c>
      <c r="BC17" s="1008"/>
      <c r="BD17" s="1008"/>
      <c r="BE17" s="1008"/>
      <c r="BF17" s="1008"/>
      <c r="BG17" s="1008"/>
      <c r="BH17" s="1008"/>
      <c r="BI17" s="1008"/>
      <c r="BJ17" s="1008"/>
      <c r="BK17" s="1008"/>
      <c r="BL17" s="1008"/>
      <c r="BM17" s="1008"/>
      <c r="BN17" s="1008"/>
      <c r="BO17" s="1008"/>
      <c r="BP17" s="1008">
        <f>+'[18]OCTUBRE 2015'!$AD$492</f>
        <v>89908716</v>
      </c>
      <c r="BQ17" s="1011">
        <f t="shared" si="5"/>
        <v>0.21769652721263733</v>
      </c>
      <c r="BR17" s="1008">
        <f t="shared" si="6"/>
        <v>111008601</v>
      </c>
      <c r="BS17" s="1008">
        <f t="shared" si="7"/>
        <v>0</v>
      </c>
      <c r="BT17" s="1008">
        <f t="shared" si="8"/>
        <v>0</v>
      </c>
      <c r="BU17" s="1008"/>
      <c r="BV17" s="1008">
        <f t="shared" si="9"/>
        <v>0</v>
      </c>
      <c r="BW17" s="1008"/>
      <c r="BX17" s="1008">
        <f t="shared" si="10"/>
        <v>80993698</v>
      </c>
      <c r="BY17" s="1008">
        <f t="shared" si="10"/>
        <v>0</v>
      </c>
      <c r="BZ17" s="1008"/>
      <c r="CA17" s="1008"/>
      <c r="CB17" s="1008"/>
      <c r="CC17" s="1008"/>
      <c r="CD17" s="1008">
        <f t="shared" si="11"/>
        <v>0</v>
      </c>
      <c r="CE17" s="1008">
        <f t="shared" si="11"/>
        <v>0</v>
      </c>
      <c r="CF17" s="1008">
        <f t="shared" si="11"/>
        <v>0</v>
      </c>
      <c r="CG17" s="1008">
        <f t="shared" si="11"/>
        <v>25000000</v>
      </c>
      <c r="CH17" s="1008">
        <f t="shared" si="11"/>
        <v>0</v>
      </c>
      <c r="CI17" s="1008">
        <f t="shared" si="11"/>
        <v>0</v>
      </c>
      <c r="CJ17" s="1008"/>
      <c r="CK17" s="1008"/>
      <c r="CL17" s="1008">
        <f t="shared" si="12"/>
        <v>5014903</v>
      </c>
      <c r="CM17" s="1011">
        <f t="shared" si="13"/>
        <v>0.73389749377347435</v>
      </c>
      <c r="CN17" s="1008">
        <f t="shared" si="14"/>
        <v>374231666</v>
      </c>
      <c r="CO17" s="1008"/>
      <c r="CP17" s="1008"/>
      <c r="CQ17" s="1008"/>
      <c r="CR17" s="1008"/>
      <c r="CS17" s="1008"/>
      <c r="CT17" s="1008">
        <f>+'[18]OCTUBRE 2015'!$H$488-DH17</f>
        <v>307506302</v>
      </c>
      <c r="CU17" s="1008"/>
      <c r="CV17" s="1008"/>
      <c r="CW17" s="1008"/>
      <c r="CX17" s="1008"/>
      <c r="CY17" s="1008"/>
      <c r="CZ17" s="1008"/>
      <c r="DA17" s="1008"/>
      <c r="DB17" s="1008"/>
      <c r="DC17" s="1008"/>
      <c r="DD17" s="1008"/>
      <c r="DE17" s="1008"/>
      <c r="DF17" s="1008"/>
      <c r="DG17" s="1008"/>
      <c r="DH17" s="1008">
        <f>+'[18]OCTUBRE 2015'!$H$493+'[18]OCTUBRE 2015'!$H$519+'[18]OCTUBRE 2015'!$H$527+'[18]OCTUBRE 2015'!$H$552+'[18]OCTUBRE 2015'!$H$635+'[18]OCTUBRE 2015'!$H$699+'[18]OCTUBRE 2015'!$H$750+'[18]OCTUBRE 2015'!$H$756+'[18]OCTUBRE 2015'!$H$769+'[18]OCTUBRE 2015'!$H$816+'[18]OCTUBRE 2015'!$H$856</f>
        <v>66725364</v>
      </c>
      <c r="DI17" s="1011">
        <f t="shared" si="15"/>
        <v>0.26610250622652565</v>
      </c>
      <c r="DJ17" s="1008">
        <f t="shared" si="16"/>
        <v>135691953</v>
      </c>
      <c r="DK17" s="1008">
        <f t="shared" si="17"/>
        <v>0</v>
      </c>
      <c r="DL17" s="1008">
        <f t="shared" si="17"/>
        <v>0</v>
      </c>
      <c r="DM17" s="1008"/>
      <c r="DN17" s="1008">
        <f t="shared" si="18"/>
        <v>0</v>
      </c>
      <c r="DO17" s="1008">
        <f t="shared" si="18"/>
        <v>0</v>
      </c>
      <c r="DP17" s="1008">
        <f t="shared" si="18"/>
        <v>82493698</v>
      </c>
      <c r="DQ17" s="1008">
        <f t="shared" si="18"/>
        <v>0</v>
      </c>
      <c r="DR17" s="1008"/>
      <c r="DS17" s="1008">
        <f t="shared" si="19"/>
        <v>0</v>
      </c>
      <c r="DT17" s="1008">
        <f t="shared" si="19"/>
        <v>0</v>
      </c>
      <c r="DU17" s="1008"/>
      <c r="DV17" s="1008">
        <f t="shared" si="20"/>
        <v>0</v>
      </c>
      <c r="DW17" s="1008">
        <f t="shared" si="20"/>
        <v>0</v>
      </c>
      <c r="DX17" s="1008">
        <f t="shared" si="20"/>
        <v>0</v>
      </c>
      <c r="DY17" s="1008">
        <f t="shared" si="21"/>
        <v>25000000</v>
      </c>
      <c r="DZ17" s="1008">
        <f t="shared" si="21"/>
        <v>0</v>
      </c>
      <c r="EA17" s="1008">
        <f t="shared" si="21"/>
        <v>0</v>
      </c>
      <c r="EB17" s="1008">
        <f t="shared" si="21"/>
        <v>0</v>
      </c>
      <c r="EC17" s="1008"/>
      <c r="ED17" s="1008">
        <f t="shared" si="22"/>
        <v>28198255</v>
      </c>
    </row>
    <row r="18" spans="1:134" ht="35.25" hidden="1" customHeight="1" x14ac:dyDescent="0.25">
      <c r="A18" s="1562"/>
      <c r="B18" s="1021"/>
      <c r="C18" s="1116" t="s">
        <v>4597</v>
      </c>
      <c r="D18" s="1019" t="s">
        <v>4698</v>
      </c>
      <c r="E18" s="1020">
        <v>310</v>
      </c>
      <c r="F18" s="1120" t="s">
        <v>4729</v>
      </c>
      <c r="G18" s="1400"/>
      <c r="H18" s="1061">
        <f t="shared" si="0"/>
        <v>197406342</v>
      </c>
      <c r="I18" s="1061">
        <f t="shared" si="1"/>
        <v>24578802</v>
      </c>
      <c r="J18" s="1400"/>
      <c r="K18" s="1573"/>
      <c r="L18" s="1573"/>
      <c r="M18" s="1115">
        <v>9</v>
      </c>
      <c r="N18" s="1115">
        <v>30</v>
      </c>
      <c r="O18" s="1115">
        <v>3</v>
      </c>
      <c r="P18" s="1115">
        <v>10</v>
      </c>
      <c r="Q18" s="1115">
        <v>80</v>
      </c>
      <c r="R18" s="1115">
        <v>8</v>
      </c>
      <c r="S18" s="1125"/>
      <c r="T18" s="1125"/>
      <c r="U18" s="1125"/>
      <c r="V18" s="1125"/>
      <c r="W18" s="1125"/>
      <c r="X18" s="1125"/>
      <c r="Y18" s="1008">
        <f t="shared" si="2"/>
        <v>221985144</v>
      </c>
      <c r="Z18" s="1008"/>
      <c r="AA18" s="1008"/>
      <c r="AB18" s="1008"/>
      <c r="AC18" s="1008"/>
      <c r="AD18" s="1008"/>
      <c r="AE18" s="1008">
        <v>30000000</v>
      </c>
      <c r="AF18" s="1008">
        <f>222000000-30014856</f>
        <v>191985144</v>
      </c>
      <c r="AG18" s="1008"/>
      <c r="AH18" s="1008"/>
      <c r="AI18" s="1008"/>
      <c r="AJ18" s="1008"/>
      <c r="AK18" s="1008"/>
      <c r="AL18" s="1008"/>
      <c r="AM18" s="1008"/>
      <c r="AN18" s="1008"/>
      <c r="AO18" s="1008"/>
      <c r="AP18" s="1008"/>
      <c r="AQ18" s="1008"/>
      <c r="AR18" s="1008"/>
      <c r="AS18" s="1008">
        <f>3000000-3000000</f>
        <v>0</v>
      </c>
      <c r="AT18" s="949"/>
      <c r="AU18" s="1011">
        <f t="shared" si="3"/>
        <v>0.90204538642459786</v>
      </c>
      <c r="AV18" s="1008">
        <f t="shared" si="4"/>
        <v>200240675</v>
      </c>
      <c r="AW18" s="1008"/>
      <c r="AX18" s="1008"/>
      <c r="AY18" s="1008"/>
      <c r="AZ18" s="1008"/>
      <c r="BA18" s="1008"/>
      <c r="BB18" s="1008">
        <f>+'[15]JULIO 2015'!$O$577</f>
        <v>30000000</v>
      </c>
      <c r="BC18" s="1008">
        <f>+'[18]OCTUBRE 2015'!$P$884</f>
        <v>170240675</v>
      </c>
      <c r="BD18" s="1008"/>
      <c r="BE18" s="1008"/>
      <c r="BF18" s="1008"/>
      <c r="BG18" s="1008"/>
      <c r="BH18" s="1008"/>
      <c r="BI18" s="1008"/>
      <c r="BJ18" s="1008"/>
      <c r="BK18" s="1008"/>
      <c r="BL18" s="1008"/>
      <c r="BM18" s="1008"/>
      <c r="BN18" s="1008"/>
      <c r="BO18" s="1008"/>
      <c r="BP18" s="1008"/>
      <c r="BQ18" s="1011">
        <f t="shared" si="5"/>
        <v>9.7954613575402139E-2</v>
      </c>
      <c r="BR18" s="1008">
        <f t="shared" si="6"/>
        <v>21744469</v>
      </c>
      <c r="BS18" s="1008">
        <f t="shared" si="7"/>
        <v>0</v>
      </c>
      <c r="BT18" s="1008">
        <f t="shared" si="8"/>
        <v>0</v>
      </c>
      <c r="BU18" s="1008"/>
      <c r="BV18" s="1008">
        <f t="shared" si="9"/>
        <v>0</v>
      </c>
      <c r="BW18" s="1008"/>
      <c r="BX18" s="1008">
        <f t="shared" si="10"/>
        <v>0</v>
      </c>
      <c r="BY18" s="1008">
        <f t="shared" si="10"/>
        <v>21744469</v>
      </c>
      <c r="BZ18" s="1008"/>
      <c r="CA18" s="1008">
        <f>+AH18-BE18</f>
        <v>0</v>
      </c>
      <c r="CB18" s="1008">
        <f>+AI18-BF18</f>
        <v>0</v>
      </c>
      <c r="CC18" s="1008">
        <f>+AJ18-BG18</f>
        <v>0</v>
      </c>
      <c r="CD18" s="1008">
        <f t="shared" si="11"/>
        <v>0</v>
      </c>
      <c r="CE18" s="1008">
        <f t="shared" si="11"/>
        <v>0</v>
      </c>
      <c r="CF18" s="1008">
        <f t="shared" si="11"/>
        <v>0</v>
      </c>
      <c r="CG18" s="1008">
        <f t="shared" si="11"/>
        <v>0</v>
      </c>
      <c r="CH18" s="1008">
        <f t="shared" si="11"/>
        <v>0</v>
      </c>
      <c r="CI18" s="1008">
        <f t="shared" si="11"/>
        <v>0</v>
      </c>
      <c r="CJ18" s="1008"/>
      <c r="CK18" s="1008"/>
      <c r="CL18" s="1008">
        <f t="shared" si="12"/>
        <v>0</v>
      </c>
      <c r="CM18" s="1011">
        <f t="shared" si="13"/>
        <v>0.889277266230032</v>
      </c>
      <c r="CN18" s="1008">
        <f t="shared" si="14"/>
        <v>197406342</v>
      </c>
      <c r="CO18" s="1008"/>
      <c r="CP18" s="1008"/>
      <c r="CQ18" s="1008"/>
      <c r="CR18" s="1008"/>
      <c r="CS18" s="1008"/>
      <c r="CT18" s="1008">
        <f>+'[18]OCTUBRE 2015'!$H$885+'[18]OCTUBRE 2015'!$H$886+'[18]OCTUBRE 2015'!$H$887+'[18]OCTUBRE 2015'!$H$888+'[18]OCTUBRE 2015'!$H$890+'[18]OCTUBRE 2015'!$H$892</f>
        <v>29177750</v>
      </c>
      <c r="CU18" s="1008">
        <f>+'[18]OCTUBRE 2015'!$H$882-CT18</f>
        <v>168228592</v>
      </c>
      <c r="CV18" s="1008"/>
      <c r="CW18" s="1008"/>
      <c r="CX18" s="1008"/>
      <c r="CY18" s="1008"/>
      <c r="CZ18" s="1008"/>
      <c r="DA18" s="1008"/>
      <c r="DB18" s="1008"/>
      <c r="DC18" s="1008"/>
      <c r="DD18" s="1008"/>
      <c r="DE18" s="1008"/>
      <c r="DF18" s="1008"/>
      <c r="DG18" s="1008"/>
      <c r="DH18" s="1008"/>
      <c r="DI18" s="1011">
        <f t="shared" si="15"/>
        <v>0.110722733769968</v>
      </c>
      <c r="DJ18" s="1008">
        <f t="shared" si="16"/>
        <v>24578802</v>
      </c>
      <c r="DK18" s="1008">
        <f t="shared" si="17"/>
        <v>0</v>
      </c>
      <c r="DL18" s="1008">
        <f t="shared" si="17"/>
        <v>0</v>
      </c>
      <c r="DM18" s="1008"/>
      <c r="DN18" s="1008">
        <f t="shared" si="18"/>
        <v>0</v>
      </c>
      <c r="DO18" s="1008">
        <f t="shared" si="18"/>
        <v>0</v>
      </c>
      <c r="DP18" s="1008">
        <f t="shared" si="18"/>
        <v>822250</v>
      </c>
      <c r="DQ18" s="1008">
        <f t="shared" si="18"/>
        <v>23756552</v>
      </c>
      <c r="DR18" s="1008"/>
      <c r="DS18" s="1008">
        <f t="shared" si="19"/>
        <v>0</v>
      </c>
      <c r="DT18" s="1008">
        <f t="shared" si="19"/>
        <v>0</v>
      </c>
      <c r="DU18" s="1008"/>
      <c r="DV18" s="1008">
        <f t="shared" si="20"/>
        <v>0</v>
      </c>
      <c r="DW18" s="1008">
        <f t="shared" si="20"/>
        <v>0</v>
      </c>
      <c r="DX18" s="1008">
        <f t="shared" si="20"/>
        <v>0</v>
      </c>
      <c r="DY18" s="1008">
        <f t="shared" si="21"/>
        <v>0</v>
      </c>
      <c r="DZ18" s="1008">
        <f t="shared" si="21"/>
        <v>0</v>
      </c>
      <c r="EA18" s="1008">
        <f t="shared" si="21"/>
        <v>0</v>
      </c>
      <c r="EB18" s="1008">
        <f t="shared" si="21"/>
        <v>0</v>
      </c>
      <c r="EC18" s="1008"/>
      <c r="ED18" s="1008">
        <f t="shared" si="22"/>
        <v>0</v>
      </c>
    </row>
    <row r="19" spans="1:134" ht="36" hidden="1" customHeight="1" x14ac:dyDescent="0.25">
      <c r="A19" s="1562"/>
      <c r="B19" s="1021"/>
      <c r="C19" s="1116" t="s">
        <v>4568</v>
      </c>
      <c r="D19" s="1019" t="s">
        <v>4567</v>
      </c>
      <c r="E19" s="1020">
        <v>310</v>
      </c>
      <c r="F19" s="1120" t="s">
        <v>4660</v>
      </c>
      <c r="G19" s="1400"/>
      <c r="H19" s="1061">
        <f t="shared" si="0"/>
        <v>88647184</v>
      </c>
      <c r="I19" s="1061">
        <f t="shared" si="1"/>
        <v>52352816</v>
      </c>
      <c r="J19" s="1400"/>
      <c r="K19" s="1573"/>
      <c r="L19" s="1573"/>
      <c r="M19" s="1115">
        <v>39</v>
      </c>
      <c r="N19" s="1115">
        <v>0</v>
      </c>
      <c r="O19" s="1115">
        <v>0</v>
      </c>
      <c r="P19" s="1115">
        <v>89</v>
      </c>
      <c r="Q19" s="1115">
        <v>0</v>
      </c>
      <c r="R19" s="1115">
        <v>0</v>
      </c>
      <c r="S19" s="1125"/>
      <c r="T19" s="1125"/>
      <c r="U19" s="1125"/>
      <c r="V19" s="1125"/>
      <c r="W19" s="1125"/>
      <c r="X19" s="1125"/>
      <c r="Y19" s="1008">
        <f t="shared" si="2"/>
        <v>141000000</v>
      </c>
      <c r="Z19" s="1008"/>
      <c r="AA19" s="1008">
        <f>144000000-144000000</f>
        <v>0</v>
      </c>
      <c r="AB19" s="1008"/>
      <c r="AC19" s="1008"/>
      <c r="AD19" s="1008"/>
      <c r="AE19" s="1008"/>
      <c r="AF19" s="1008">
        <f>144000000-64000000+50000000</f>
        <v>130000000</v>
      </c>
      <c r="AG19" s="1008"/>
      <c r="AH19" s="1008"/>
      <c r="AI19" s="1008"/>
      <c r="AJ19" s="1008"/>
      <c r="AK19" s="1008"/>
      <c r="AL19" s="1008"/>
      <c r="AM19" s="1008"/>
      <c r="AN19" s="1008">
        <f>11000000</f>
        <v>11000000</v>
      </c>
      <c r="AO19" s="1008"/>
      <c r="AP19" s="1008"/>
      <c r="AQ19" s="1008"/>
      <c r="AR19" s="1008"/>
      <c r="AS19" s="1008"/>
      <c r="AT19" s="949"/>
      <c r="AU19" s="1011">
        <f t="shared" si="3"/>
        <v>0.66617021276595745</v>
      </c>
      <c r="AV19" s="1008">
        <f t="shared" si="4"/>
        <v>93930000</v>
      </c>
      <c r="AW19" s="1008"/>
      <c r="AX19" s="1008"/>
      <c r="AY19" s="1008"/>
      <c r="AZ19" s="1008"/>
      <c r="BA19" s="1008"/>
      <c r="BB19" s="1008"/>
      <c r="BC19" s="1008">
        <f>+'[18]OCTUBRE 2015'!$P$916</f>
        <v>93930000</v>
      </c>
      <c r="BD19" s="1008"/>
      <c r="BE19" s="1008"/>
      <c r="BF19" s="1008"/>
      <c r="BG19" s="1008"/>
      <c r="BH19" s="1008"/>
      <c r="BI19" s="1008"/>
      <c r="BJ19" s="1008"/>
      <c r="BK19" s="1008"/>
      <c r="BL19" s="1008"/>
      <c r="BM19" s="1008"/>
      <c r="BN19" s="1008"/>
      <c r="BO19" s="1008"/>
      <c r="BP19" s="1008"/>
      <c r="BQ19" s="1011">
        <f t="shared" si="5"/>
        <v>0.33382978723404255</v>
      </c>
      <c r="BR19" s="1008">
        <f t="shared" si="6"/>
        <v>47070000</v>
      </c>
      <c r="BS19" s="1008">
        <f t="shared" si="7"/>
        <v>0</v>
      </c>
      <c r="BT19" s="1008">
        <f t="shared" ref="BT19:BT33" si="23">AA19-AX19</f>
        <v>0</v>
      </c>
      <c r="BU19" s="1008"/>
      <c r="BV19" s="1008">
        <f t="shared" si="9"/>
        <v>0</v>
      </c>
      <c r="BW19" s="1008"/>
      <c r="BX19" s="1008">
        <f t="shared" si="10"/>
        <v>0</v>
      </c>
      <c r="BY19" s="1008">
        <f t="shared" si="10"/>
        <v>36070000</v>
      </c>
      <c r="BZ19" s="1008"/>
      <c r="CA19" s="1008"/>
      <c r="CB19" s="1008"/>
      <c r="CC19" s="1008"/>
      <c r="CD19" s="1008">
        <f t="shared" si="11"/>
        <v>0</v>
      </c>
      <c r="CE19" s="1008">
        <f t="shared" si="11"/>
        <v>0</v>
      </c>
      <c r="CF19" s="1008">
        <f t="shared" si="11"/>
        <v>0</v>
      </c>
      <c r="CG19" s="1008">
        <f t="shared" si="11"/>
        <v>11000000</v>
      </c>
      <c r="CH19" s="1008">
        <f t="shared" si="11"/>
        <v>0</v>
      </c>
      <c r="CI19" s="1008">
        <f t="shared" si="11"/>
        <v>0</v>
      </c>
      <c r="CJ19" s="1008"/>
      <c r="CK19" s="1008"/>
      <c r="CL19" s="1008">
        <f t="shared" si="12"/>
        <v>0</v>
      </c>
      <c r="CM19" s="1011">
        <f t="shared" si="13"/>
        <v>0.62870343262411343</v>
      </c>
      <c r="CN19" s="1008">
        <f t="shared" si="14"/>
        <v>88647184</v>
      </c>
      <c r="CO19" s="1008"/>
      <c r="CP19" s="1008"/>
      <c r="CQ19" s="1008"/>
      <c r="CR19" s="1008"/>
      <c r="CS19" s="1008"/>
      <c r="CT19" s="1008"/>
      <c r="CU19" s="1008">
        <f>+'[18]OCTUBRE 2015'!$H$914</f>
        <v>88647184</v>
      </c>
      <c r="CV19" s="1008"/>
      <c r="CW19" s="1008"/>
      <c r="CX19" s="1008"/>
      <c r="CY19" s="1008"/>
      <c r="CZ19" s="1008"/>
      <c r="DA19" s="1008"/>
      <c r="DB19" s="1008"/>
      <c r="DC19" s="1008"/>
      <c r="DD19" s="1008"/>
      <c r="DE19" s="1008"/>
      <c r="DF19" s="1008"/>
      <c r="DG19" s="1008"/>
      <c r="DH19" s="1008"/>
      <c r="DI19" s="1011">
        <f t="shared" si="15"/>
        <v>0.37129656737588657</v>
      </c>
      <c r="DJ19" s="1008">
        <f t="shared" si="16"/>
        <v>52352816</v>
      </c>
      <c r="DK19" s="1008">
        <f t="shared" si="17"/>
        <v>0</v>
      </c>
      <c r="DL19" s="1008">
        <f t="shared" si="17"/>
        <v>0</v>
      </c>
      <c r="DM19" s="1008"/>
      <c r="DN19" s="1008">
        <f t="shared" si="18"/>
        <v>0</v>
      </c>
      <c r="DO19" s="1008">
        <f t="shared" si="18"/>
        <v>0</v>
      </c>
      <c r="DP19" s="1008">
        <f t="shared" si="18"/>
        <v>0</v>
      </c>
      <c r="DQ19" s="1008">
        <f t="shared" si="18"/>
        <v>41352816</v>
      </c>
      <c r="DR19" s="1008"/>
      <c r="DS19" s="1008">
        <f t="shared" si="19"/>
        <v>0</v>
      </c>
      <c r="DT19" s="1008">
        <f t="shared" si="19"/>
        <v>0</v>
      </c>
      <c r="DU19" s="1008"/>
      <c r="DV19" s="1008">
        <f t="shared" si="20"/>
        <v>0</v>
      </c>
      <c r="DW19" s="1008">
        <f t="shared" si="20"/>
        <v>0</v>
      </c>
      <c r="DX19" s="1008">
        <f t="shared" si="20"/>
        <v>0</v>
      </c>
      <c r="DY19" s="1008">
        <f t="shared" si="21"/>
        <v>11000000</v>
      </c>
      <c r="DZ19" s="1008">
        <f t="shared" si="21"/>
        <v>0</v>
      </c>
      <c r="EA19" s="1008">
        <f t="shared" si="21"/>
        <v>0</v>
      </c>
      <c r="EB19" s="1008">
        <f t="shared" si="21"/>
        <v>0</v>
      </c>
      <c r="EC19" s="1008"/>
      <c r="ED19" s="1008">
        <f t="shared" si="22"/>
        <v>0</v>
      </c>
    </row>
    <row r="20" spans="1:134" ht="34.5" hidden="1" customHeight="1" x14ac:dyDescent="0.25">
      <c r="A20" s="1562"/>
      <c r="B20" s="1021"/>
      <c r="C20" s="1116" t="s">
        <v>4569</v>
      </c>
      <c r="D20" s="1019" t="s">
        <v>4699</v>
      </c>
      <c r="E20" s="1020">
        <v>310</v>
      </c>
      <c r="F20" s="1120" t="s">
        <v>4660</v>
      </c>
      <c r="G20" s="1400"/>
      <c r="H20" s="1061">
        <f t="shared" si="0"/>
        <v>0</v>
      </c>
      <c r="I20" s="1061">
        <f t="shared" si="1"/>
        <v>0</v>
      </c>
      <c r="J20" s="1400"/>
      <c r="K20" s="1573"/>
      <c r="L20" s="1573"/>
      <c r="M20" s="1115">
        <v>0</v>
      </c>
      <c r="N20" s="1115">
        <v>0</v>
      </c>
      <c r="O20" s="1115">
        <v>0</v>
      </c>
      <c r="P20" s="1115">
        <v>0</v>
      </c>
      <c r="Q20" s="1115">
        <v>0</v>
      </c>
      <c r="R20" s="1115">
        <v>0</v>
      </c>
      <c r="S20" s="1125"/>
      <c r="T20" s="1125"/>
      <c r="U20" s="1125"/>
      <c r="V20" s="1125"/>
      <c r="W20" s="1125"/>
      <c r="X20" s="1125"/>
      <c r="Y20" s="1008">
        <f t="shared" si="2"/>
        <v>0</v>
      </c>
      <c r="Z20" s="149"/>
      <c r="AA20" s="944"/>
      <c r="AB20" s="944"/>
      <c r="AC20" s="944"/>
      <c r="AD20" s="944"/>
      <c r="AE20" s="944"/>
      <c r="AF20" s="1008">
        <f>4000000-4000000</f>
        <v>0</v>
      </c>
      <c r="AG20" s="944"/>
      <c r="AH20" s="149"/>
      <c r="AI20" s="149"/>
      <c r="AJ20" s="149"/>
      <c r="AK20" s="149"/>
      <c r="AL20" s="149"/>
      <c r="AM20" s="149"/>
      <c r="AN20" s="1008">
        <f>11000000-11000000</f>
        <v>0</v>
      </c>
      <c r="AO20" s="149"/>
      <c r="AP20" s="149"/>
      <c r="AQ20" s="149"/>
      <c r="AR20" s="149"/>
      <c r="AS20" s="944"/>
      <c r="AT20" s="949"/>
      <c r="AU20" s="1011">
        <v>0</v>
      </c>
      <c r="AV20" s="1008">
        <f t="shared" si="4"/>
        <v>0</v>
      </c>
      <c r="AW20" s="1008"/>
      <c r="AX20" s="1008"/>
      <c r="AY20" s="1008"/>
      <c r="AZ20" s="1008"/>
      <c r="BA20" s="1008"/>
      <c r="BB20" s="1008"/>
      <c r="BC20" s="1008"/>
      <c r="BD20" s="1008"/>
      <c r="BE20" s="1008"/>
      <c r="BF20" s="1008"/>
      <c r="BG20" s="1008"/>
      <c r="BH20" s="1008"/>
      <c r="BI20" s="1008"/>
      <c r="BJ20" s="1008"/>
      <c r="BK20" s="1008"/>
      <c r="BL20" s="1008"/>
      <c r="BM20" s="1008"/>
      <c r="BN20" s="1008"/>
      <c r="BO20" s="1008"/>
      <c r="BP20" s="1008"/>
      <c r="BQ20" s="1011">
        <v>0</v>
      </c>
      <c r="BR20" s="1008">
        <f t="shared" si="6"/>
        <v>0</v>
      </c>
      <c r="BS20" s="1008">
        <f t="shared" si="7"/>
        <v>0</v>
      </c>
      <c r="BT20" s="1008">
        <f t="shared" si="23"/>
        <v>0</v>
      </c>
      <c r="BU20" s="1008"/>
      <c r="BV20" s="1008">
        <f t="shared" si="9"/>
        <v>0</v>
      </c>
      <c r="BW20" s="1008"/>
      <c r="BX20" s="1008">
        <f t="shared" si="10"/>
        <v>0</v>
      </c>
      <c r="BY20" s="1008">
        <f t="shared" si="10"/>
        <v>0</v>
      </c>
      <c r="BZ20" s="1008"/>
      <c r="CA20" s="1008"/>
      <c r="CB20" s="1008"/>
      <c r="CC20" s="1008"/>
      <c r="CD20" s="1008">
        <f t="shared" ref="CD20:CI33" si="24">+AK20-BH20</f>
        <v>0</v>
      </c>
      <c r="CE20" s="1008">
        <f t="shared" si="24"/>
        <v>0</v>
      </c>
      <c r="CF20" s="1008">
        <f t="shared" si="24"/>
        <v>0</v>
      </c>
      <c r="CG20" s="1008">
        <f t="shared" si="24"/>
        <v>0</v>
      </c>
      <c r="CH20" s="1008">
        <f t="shared" si="24"/>
        <v>0</v>
      </c>
      <c r="CI20" s="1008">
        <f t="shared" si="24"/>
        <v>0</v>
      </c>
      <c r="CJ20" s="1008"/>
      <c r="CK20" s="1008"/>
      <c r="CL20" s="1008">
        <f t="shared" si="12"/>
        <v>0</v>
      </c>
      <c r="CM20" s="1011">
        <v>0</v>
      </c>
      <c r="CN20" s="1008">
        <f t="shared" si="14"/>
        <v>0</v>
      </c>
      <c r="CO20" s="1008"/>
      <c r="CP20" s="1008"/>
      <c r="CQ20" s="1008"/>
      <c r="CR20" s="1008"/>
      <c r="CS20" s="1008"/>
      <c r="CT20" s="1008"/>
      <c r="CU20" s="1008"/>
      <c r="CV20" s="1008"/>
      <c r="CW20" s="1008"/>
      <c r="CX20" s="1008"/>
      <c r="CY20" s="1008"/>
      <c r="CZ20" s="1008"/>
      <c r="DA20" s="1008"/>
      <c r="DB20" s="1008"/>
      <c r="DC20" s="1008"/>
      <c r="DD20" s="1008"/>
      <c r="DE20" s="1008"/>
      <c r="DF20" s="1008"/>
      <c r="DG20" s="1008"/>
      <c r="DH20" s="1008"/>
      <c r="DI20" s="1011">
        <v>0</v>
      </c>
      <c r="DJ20" s="1008">
        <f t="shared" si="16"/>
        <v>0</v>
      </c>
      <c r="DK20" s="1008">
        <f t="shared" si="17"/>
        <v>0</v>
      </c>
      <c r="DL20" s="1008">
        <f t="shared" si="17"/>
        <v>0</v>
      </c>
      <c r="DM20" s="1008"/>
      <c r="DN20" s="1008">
        <f t="shared" si="18"/>
        <v>0</v>
      </c>
      <c r="DO20" s="1008">
        <f t="shared" si="18"/>
        <v>0</v>
      </c>
      <c r="DP20" s="1008">
        <f t="shared" si="18"/>
        <v>0</v>
      </c>
      <c r="DQ20" s="1008">
        <f t="shared" si="18"/>
        <v>0</v>
      </c>
      <c r="DR20" s="1008"/>
      <c r="DS20" s="1008">
        <f t="shared" si="19"/>
        <v>0</v>
      </c>
      <c r="DT20" s="1008">
        <f t="shared" si="19"/>
        <v>0</v>
      </c>
      <c r="DU20" s="1008"/>
      <c r="DV20" s="1008">
        <f t="shared" si="20"/>
        <v>0</v>
      </c>
      <c r="DW20" s="1008">
        <f t="shared" si="20"/>
        <v>0</v>
      </c>
      <c r="DX20" s="1008">
        <f t="shared" si="20"/>
        <v>0</v>
      </c>
      <c r="DY20" s="1008">
        <f t="shared" si="21"/>
        <v>0</v>
      </c>
      <c r="DZ20" s="1008">
        <f t="shared" si="21"/>
        <v>0</v>
      </c>
      <c r="EA20" s="1008">
        <f t="shared" si="21"/>
        <v>0</v>
      </c>
      <c r="EB20" s="1008">
        <f t="shared" si="21"/>
        <v>0</v>
      </c>
      <c r="EC20" s="1008"/>
      <c r="ED20" s="1008">
        <f t="shared" si="22"/>
        <v>0</v>
      </c>
    </row>
    <row r="21" spans="1:134" ht="48.75" hidden="1" customHeight="1" x14ac:dyDescent="0.25">
      <c r="A21" s="1562"/>
      <c r="B21" s="1021"/>
      <c r="C21" s="1116" t="s">
        <v>4570</v>
      </c>
      <c r="D21" s="1019" t="s">
        <v>4566</v>
      </c>
      <c r="E21" s="1020">
        <v>310</v>
      </c>
      <c r="F21" s="1120" t="s">
        <v>4660</v>
      </c>
      <c r="G21" s="1401"/>
      <c r="H21" s="1061">
        <f t="shared" si="0"/>
        <v>0</v>
      </c>
      <c r="I21" s="1061">
        <f t="shared" si="1"/>
        <v>0</v>
      </c>
      <c r="J21" s="1401"/>
      <c r="K21" s="1284"/>
      <c r="L21" s="1284"/>
      <c r="M21" s="1115">
        <v>0</v>
      </c>
      <c r="N21" s="1115">
        <v>0</v>
      </c>
      <c r="O21" s="1115">
        <v>0</v>
      </c>
      <c r="P21" s="1115">
        <v>0</v>
      </c>
      <c r="Q21" s="1115">
        <v>0</v>
      </c>
      <c r="R21" s="1115">
        <v>0</v>
      </c>
      <c r="S21" s="1126"/>
      <c r="T21" s="1126"/>
      <c r="U21" s="1126"/>
      <c r="V21" s="1126"/>
      <c r="W21" s="1126"/>
      <c r="X21" s="1126"/>
      <c r="Y21" s="1008">
        <f t="shared" si="2"/>
        <v>0</v>
      </c>
      <c r="Z21" s="149"/>
      <c r="AA21" s="944">
        <f>36000000-36000000</f>
        <v>0</v>
      </c>
      <c r="AB21" s="944"/>
      <c r="AC21" s="944"/>
      <c r="AD21" s="944"/>
      <c r="AE21" s="944"/>
      <c r="AF21" s="1008">
        <f>34000000+36000000-20000000-50000000</f>
        <v>0</v>
      </c>
      <c r="AG21" s="944"/>
      <c r="AH21" s="149"/>
      <c r="AI21" s="149"/>
      <c r="AJ21" s="149"/>
      <c r="AK21" s="149"/>
      <c r="AL21" s="149"/>
      <c r="AM21" s="149"/>
      <c r="AN21" s="149"/>
      <c r="AO21" s="149"/>
      <c r="AP21" s="149"/>
      <c r="AQ21" s="149"/>
      <c r="AR21" s="149"/>
      <c r="AS21" s="944"/>
      <c r="AT21" s="949"/>
      <c r="AU21" s="1011">
        <v>0</v>
      </c>
      <c r="AV21" s="1008">
        <f t="shared" si="4"/>
        <v>0</v>
      </c>
      <c r="AW21" s="1008"/>
      <c r="AX21" s="1008"/>
      <c r="AY21" s="1008"/>
      <c r="AZ21" s="1008"/>
      <c r="BA21" s="1008"/>
      <c r="BB21" s="1008"/>
      <c r="BC21" s="1008"/>
      <c r="BD21" s="1008"/>
      <c r="BE21" s="1008"/>
      <c r="BF21" s="1008"/>
      <c r="BG21" s="1008"/>
      <c r="BH21" s="1008"/>
      <c r="BI21" s="1008"/>
      <c r="BJ21" s="1008"/>
      <c r="BK21" s="1008"/>
      <c r="BL21" s="1008"/>
      <c r="BM21" s="1008"/>
      <c r="BN21" s="1008"/>
      <c r="BO21" s="1008"/>
      <c r="BP21" s="1008"/>
      <c r="BQ21" s="1011">
        <v>0</v>
      </c>
      <c r="BR21" s="1008">
        <f t="shared" si="6"/>
        <v>0</v>
      </c>
      <c r="BS21" s="1008">
        <f t="shared" si="7"/>
        <v>0</v>
      </c>
      <c r="BT21" s="1008">
        <f t="shared" si="23"/>
        <v>0</v>
      </c>
      <c r="BU21" s="1008"/>
      <c r="BV21" s="1008">
        <f t="shared" si="9"/>
        <v>0</v>
      </c>
      <c r="BW21" s="1008"/>
      <c r="BX21" s="1008">
        <f t="shared" si="10"/>
        <v>0</v>
      </c>
      <c r="BY21" s="1008">
        <f t="shared" si="10"/>
        <v>0</v>
      </c>
      <c r="BZ21" s="1008"/>
      <c r="CA21" s="1008"/>
      <c r="CB21" s="1008"/>
      <c r="CC21" s="1008"/>
      <c r="CD21" s="1008">
        <f t="shared" si="24"/>
        <v>0</v>
      </c>
      <c r="CE21" s="1008">
        <f t="shared" si="24"/>
        <v>0</v>
      </c>
      <c r="CF21" s="1008">
        <f t="shared" si="24"/>
        <v>0</v>
      </c>
      <c r="CG21" s="1008">
        <f t="shared" si="24"/>
        <v>0</v>
      </c>
      <c r="CH21" s="1008">
        <f t="shared" si="24"/>
        <v>0</v>
      </c>
      <c r="CI21" s="1008">
        <f t="shared" si="24"/>
        <v>0</v>
      </c>
      <c r="CJ21" s="1008"/>
      <c r="CK21" s="1008"/>
      <c r="CL21" s="1008">
        <f t="shared" si="12"/>
        <v>0</v>
      </c>
      <c r="CM21" s="1011">
        <v>0</v>
      </c>
      <c r="CN21" s="1008">
        <f t="shared" si="14"/>
        <v>0</v>
      </c>
      <c r="CO21" s="1008"/>
      <c r="CP21" s="1008"/>
      <c r="CQ21" s="1008"/>
      <c r="CR21" s="1008"/>
      <c r="CS21" s="1008"/>
      <c r="CT21" s="1008"/>
      <c r="CU21" s="1008"/>
      <c r="CV21" s="1008"/>
      <c r="CW21" s="1008"/>
      <c r="CX21" s="1008"/>
      <c r="CY21" s="1008"/>
      <c r="CZ21" s="1008"/>
      <c r="DA21" s="1008"/>
      <c r="DB21" s="1008"/>
      <c r="DC21" s="1008"/>
      <c r="DD21" s="1008"/>
      <c r="DE21" s="1008"/>
      <c r="DF21" s="1008"/>
      <c r="DG21" s="1008"/>
      <c r="DH21" s="1008"/>
      <c r="DI21" s="1011">
        <v>0</v>
      </c>
      <c r="DJ21" s="1008">
        <f t="shared" si="16"/>
        <v>0</v>
      </c>
      <c r="DK21" s="1008">
        <f t="shared" si="17"/>
        <v>0</v>
      </c>
      <c r="DL21" s="1008">
        <f t="shared" si="17"/>
        <v>0</v>
      </c>
      <c r="DM21" s="1008"/>
      <c r="DN21" s="1008">
        <f t="shared" si="18"/>
        <v>0</v>
      </c>
      <c r="DO21" s="1008">
        <f t="shared" si="18"/>
        <v>0</v>
      </c>
      <c r="DP21" s="1008">
        <f t="shared" si="18"/>
        <v>0</v>
      </c>
      <c r="DQ21" s="1008">
        <f t="shared" si="18"/>
        <v>0</v>
      </c>
      <c r="DR21" s="1008"/>
      <c r="DS21" s="1008">
        <f t="shared" si="19"/>
        <v>0</v>
      </c>
      <c r="DT21" s="1008">
        <f t="shared" si="19"/>
        <v>0</v>
      </c>
      <c r="DU21" s="1008"/>
      <c r="DV21" s="1008">
        <f t="shared" si="20"/>
        <v>0</v>
      </c>
      <c r="DW21" s="1008">
        <f t="shared" si="20"/>
        <v>0</v>
      </c>
      <c r="DX21" s="1008">
        <f t="shared" si="20"/>
        <v>0</v>
      </c>
      <c r="DY21" s="1008">
        <f t="shared" si="21"/>
        <v>0</v>
      </c>
      <c r="DZ21" s="1008">
        <f t="shared" si="21"/>
        <v>0</v>
      </c>
      <c r="EA21" s="1008">
        <f t="shared" si="21"/>
        <v>0</v>
      </c>
      <c r="EB21" s="1008">
        <f t="shared" si="21"/>
        <v>0</v>
      </c>
      <c r="EC21" s="1008"/>
      <c r="ED21" s="1008">
        <f t="shared" si="22"/>
        <v>0</v>
      </c>
    </row>
    <row r="22" spans="1:134" ht="60" hidden="1" customHeight="1" x14ac:dyDescent="0.25">
      <c r="A22" s="1562"/>
      <c r="B22" s="1021" t="s">
        <v>4302</v>
      </c>
      <c r="C22" s="1116" t="s">
        <v>4400</v>
      </c>
      <c r="D22" s="1019" t="s">
        <v>4572</v>
      </c>
      <c r="E22" s="1020">
        <v>510</v>
      </c>
      <c r="F22" s="1120" t="s">
        <v>4671</v>
      </c>
      <c r="G22" s="1399">
        <v>259000000</v>
      </c>
      <c r="H22" s="1061">
        <f t="shared" si="0"/>
        <v>57842833</v>
      </c>
      <c r="I22" s="1061">
        <f t="shared" si="1"/>
        <v>49157167</v>
      </c>
      <c r="J22" s="1399" t="s">
        <v>4766</v>
      </c>
      <c r="K22" s="1118" t="s">
        <v>4768</v>
      </c>
      <c r="L22" s="1115" t="s">
        <v>4767</v>
      </c>
      <c r="M22" s="1115">
        <v>19</v>
      </c>
      <c r="N22" s="1115">
        <v>10</v>
      </c>
      <c r="O22" s="1115">
        <v>2</v>
      </c>
      <c r="P22" s="1115">
        <v>19</v>
      </c>
      <c r="Q22" s="1115">
        <v>50</v>
      </c>
      <c r="R22" s="1115">
        <v>9</v>
      </c>
      <c r="S22" s="1124"/>
      <c r="T22" s="1124"/>
      <c r="U22" s="1124"/>
      <c r="V22" s="1124"/>
      <c r="W22" s="1124"/>
      <c r="X22" s="1124"/>
      <c r="Y22" s="1008">
        <f t="shared" si="2"/>
        <v>107000000</v>
      </c>
      <c r="Z22" s="1008"/>
      <c r="AA22" s="1008"/>
      <c r="AB22" s="1008"/>
      <c r="AC22" s="1008"/>
      <c r="AD22" s="1008"/>
      <c r="AE22" s="1008"/>
      <c r="AF22" s="1008"/>
      <c r="AG22" s="1008"/>
      <c r="AH22" s="1008"/>
      <c r="AI22" s="1008"/>
      <c r="AJ22" s="1008"/>
      <c r="AK22" s="1008"/>
      <c r="AL22" s="1008"/>
      <c r="AM22" s="1008"/>
      <c r="AN22" s="1008"/>
      <c r="AO22" s="1008">
        <v>50000000</v>
      </c>
      <c r="AP22" s="1008"/>
      <c r="AQ22" s="1008"/>
      <c r="AR22" s="1008"/>
      <c r="AS22" s="1008">
        <f>9000000+5000000+15000000+5000000+5000000+15000000+3000000</f>
        <v>57000000</v>
      </c>
      <c r="AU22" s="1011">
        <f t="shared" si="3"/>
        <v>0.99342156074766352</v>
      </c>
      <c r="AV22" s="1008">
        <f t="shared" si="4"/>
        <v>106296107</v>
      </c>
      <c r="AW22" s="1008"/>
      <c r="AX22" s="1008"/>
      <c r="AY22" s="1008"/>
      <c r="AZ22" s="1008"/>
      <c r="BA22" s="1008"/>
      <c r="BB22" s="1008"/>
      <c r="BC22" s="1008"/>
      <c r="BD22" s="1008"/>
      <c r="BE22" s="1008"/>
      <c r="BF22" s="1008"/>
      <c r="BG22" s="1008"/>
      <c r="BH22" s="1008"/>
      <c r="BI22" s="1008"/>
      <c r="BJ22" s="1008"/>
      <c r="BK22" s="1008"/>
      <c r="BL22" s="1008">
        <f>+'[8]FEBRERO 2015'!$X$852</f>
        <v>50000000</v>
      </c>
      <c r="BM22" s="1008"/>
      <c r="BN22" s="1008"/>
      <c r="BO22" s="1008"/>
      <c r="BP22" s="1008">
        <f>+'[17]SEPTIEMBRE 2015'!$AD$2528</f>
        <v>56296107</v>
      </c>
      <c r="BQ22" s="1011">
        <v>0</v>
      </c>
      <c r="BR22" s="1008">
        <f t="shared" si="6"/>
        <v>703893</v>
      </c>
      <c r="BS22" s="1008">
        <f t="shared" si="7"/>
        <v>0</v>
      </c>
      <c r="BT22" s="1008">
        <f t="shared" si="23"/>
        <v>0</v>
      </c>
      <c r="BU22" s="1008"/>
      <c r="BV22" s="1008">
        <f t="shared" si="9"/>
        <v>0</v>
      </c>
      <c r="BW22" s="1008"/>
      <c r="BX22" s="1008">
        <f t="shared" si="10"/>
        <v>0</v>
      </c>
      <c r="BY22" s="1008">
        <f t="shared" si="10"/>
        <v>0</v>
      </c>
      <c r="BZ22" s="1008"/>
      <c r="CA22" s="1008"/>
      <c r="CB22" s="1008"/>
      <c r="CC22" s="1008"/>
      <c r="CD22" s="1008">
        <f t="shared" si="24"/>
        <v>0</v>
      </c>
      <c r="CE22" s="1008">
        <f t="shared" si="24"/>
        <v>0</v>
      </c>
      <c r="CF22" s="1008">
        <f t="shared" si="24"/>
        <v>0</v>
      </c>
      <c r="CG22" s="1008">
        <f t="shared" si="24"/>
        <v>0</v>
      </c>
      <c r="CH22" s="1008">
        <f t="shared" si="24"/>
        <v>0</v>
      </c>
      <c r="CI22" s="1008">
        <f t="shared" si="24"/>
        <v>0</v>
      </c>
      <c r="CJ22" s="1008"/>
      <c r="CK22" s="1008"/>
      <c r="CL22" s="1008">
        <f t="shared" si="12"/>
        <v>703893</v>
      </c>
      <c r="CM22" s="1011">
        <f t="shared" si="13"/>
        <v>0.54058722429906547</v>
      </c>
      <c r="CN22" s="1008">
        <f t="shared" si="14"/>
        <v>57842833</v>
      </c>
      <c r="CO22" s="1008"/>
      <c r="CP22" s="1008"/>
      <c r="CQ22" s="1008"/>
      <c r="CR22" s="1008"/>
      <c r="CS22" s="1008"/>
      <c r="CT22" s="1008"/>
      <c r="CU22" s="1008"/>
      <c r="CV22" s="1008"/>
      <c r="CW22" s="1008"/>
      <c r="CX22" s="1008"/>
      <c r="CY22" s="1008"/>
      <c r="CZ22" s="1008"/>
      <c r="DA22" s="1008"/>
      <c r="DB22" s="1008"/>
      <c r="DC22" s="1008"/>
      <c r="DD22" s="1008">
        <f>+'[18]OCTUBRE 2015'!$H$2971</f>
        <v>12411565</v>
      </c>
      <c r="DE22" s="1008"/>
      <c r="DF22" s="1008"/>
      <c r="DG22" s="1008"/>
      <c r="DH22" s="1008">
        <f>+'[18]OCTUBRE 2015'!$H$2941+'[18]OCTUBRE 2015'!$H$2952+'[18]OCTUBRE 2015'!$H$2955+'[18]OCTUBRE 2015'!$H$2979+'[18]OCTUBRE 2015'!$H$2982+'[18]OCTUBRE 2015'!$H$2983+'[18]OCTUBRE 2015'!$H$2985</f>
        <v>45431268</v>
      </c>
      <c r="DI22" s="1011">
        <f t="shared" si="15"/>
        <v>0.45941277570093453</v>
      </c>
      <c r="DJ22" s="1008">
        <f t="shared" si="16"/>
        <v>49157167</v>
      </c>
      <c r="DK22" s="1008">
        <f t="shared" si="17"/>
        <v>0</v>
      </c>
      <c r="DL22" s="1008">
        <f t="shared" si="17"/>
        <v>0</v>
      </c>
      <c r="DM22" s="1008"/>
      <c r="DN22" s="1008">
        <f t="shared" si="18"/>
        <v>0</v>
      </c>
      <c r="DO22" s="1008">
        <f t="shared" si="18"/>
        <v>0</v>
      </c>
      <c r="DP22" s="1008">
        <f t="shared" si="18"/>
        <v>0</v>
      </c>
      <c r="DQ22" s="1008">
        <f t="shared" si="18"/>
        <v>0</v>
      </c>
      <c r="DR22" s="1008"/>
      <c r="DS22" s="1008">
        <f t="shared" si="19"/>
        <v>0</v>
      </c>
      <c r="DT22" s="1008">
        <f t="shared" si="19"/>
        <v>0</v>
      </c>
      <c r="DU22" s="1008"/>
      <c r="DV22" s="1008">
        <f t="shared" si="20"/>
        <v>0</v>
      </c>
      <c r="DW22" s="1008">
        <f t="shared" si="20"/>
        <v>0</v>
      </c>
      <c r="DX22" s="1008">
        <f t="shared" si="20"/>
        <v>0</v>
      </c>
      <c r="DY22" s="1008">
        <f t="shared" si="21"/>
        <v>0</v>
      </c>
      <c r="DZ22" s="1008">
        <f t="shared" si="21"/>
        <v>37588435</v>
      </c>
      <c r="EA22" s="1008">
        <f t="shared" si="21"/>
        <v>0</v>
      </c>
      <c r="EB22" s="1008">
        <f t="shared" si="21"/>
        <v>0</v>
      </c>
      <c r="EC22" s="1008"/>
      <c r="ED22" s="1008">
        <f t="shared" si="22"/>
        <v>11568732</v>
      </c>
    </row>
    <row r="23" spans="1:134" ht="47.25" hidden="1" customHeight="1" x14ac:dyDescent="0.25">
      <c r="A23" s="1562"/>
      <c r="B23" s="1021"/>
      <c r="C23" s="1116" t="s">
        <v>4401</v>
      </c>
      <c r="D23" s="1019" t="s">
        <v>4571</v>
      </c>
      <c r="E23" s="1020">
        <v>510</v>
      </c>
      <c r="F23" s="1120" t="s">
        <v>4730</v>
      </c>
      <c r="G23" s="1401"/>
      <c r="H23" s="1061">
        <f t="shared" si="0"/>
        <v>170322247</v>
      </c>
      <c r="I23" s="1061">
        <f t="shared" si="1"/>
        <v>101877753</v>
      </c>
      <c r="J23" s="1401"/>
      <c r="K23" s="1119" t="s">
        <v>4769</v>
      </c>
      <c r="L23" s="1115" t="s">
        <v>4770</v>
      </c>
      <c r="M23" s="1115">
        <v>56</v>
      </c>
      <c r="N23" s="1115">
        <v>5</v>
      </c>
      <c r="O23" s="1115">
        <v>3</v>
      </c>
      <c r="P23" s="1115">
        <v>67</v>
      </c>
      <c r="Q23" s="1115">
        <v>71</v>
      </c>
      <c r="R23" s="1115">
        <v>47</v>
      </c>
      <c r="S23" s="1126"/>
      <c r="T23" s="1126"/>
      <c r="U23" s="1126"/>
      <c r="V23" s="1126"/>
      <c r="W23" s="1126"/>
      <c r="X23" s="1126"/>
      <c r="Y23" s="1008">
        <f t="shared" si="2"/>
        <v>272200000</v>
      </c>
      <c r="Z23" s="1008"/>
      <c r="AA23" s="1008"/>
      <c r="AB23" s="1008"/>
      <c r="AC23" s="1008"/>
      <c r="AD23" s="1008"/>
      <c r="AE23" s="1008"/>
      <c r="AF23" s="1008"/>
      <c r="AG23" s="1008"/>
      <c r="AH23" s="1008"/>
      <c r="AI23" s="1008"/>
      <c r="AJ23" s="1008"/>
      <c r="AK23" s="1008"/>
      <c r="AL23" s="1008"/>
      <c r="AM23" s="1008"/>
      <c r="AN23" s="1008">
        <f>100000000</f>
        <v>100000000</v>
      </c>
      <c r="AO23" s="1008">
        <v>170000000</v>
      </c>
      <c r="AP23" s="1008"/>
      <c r="AQ23" s="1008"/>
      <c r="AR23" s="1008"/>
      <c r="AS23" s="1008">
        <v>2200000</v>
      </c>
      <c r="AU23" s="1011">
        <f t="shared" si="3"/>
        <v>0.72653577149155035</v>
      </c>
      <c r="AV23" s="1008">
        <f t="shared" si="4"/>
        <v>197763037</v>
      </c>
      <c r="AW23" s="1008"/>
      <c r="AX23" s="1008"/>
      <c r="AY23" s="1008"/>
      <c r="AZ23" s="1008"/>
      <c r="BA23" s="1008"/>
      <c r="BB23" s="1008"/>
      <c r="BC23" s="1008"/>
      <c r="BD23" s="1008"/>
      <c r="BE23" s="1008"/>
      <c r="BF23" s="1008"/>
      <c r="BG23" s="1008"/>
      <c r="BH23" s="1008"/>
      <c r="BI23" s="1008"/>
      <c r="BJ23" s="1008"/>
      <c r="BK23" s="1008">
        <f>+'[18]OCTUBRE 2015'!$X$2991</f>
        <v>27763037</v>
      </c>
      <c r="BL23" s="1008">
        <f>+'[8]FEBRERO 2015'!$X$864</f>
        <v>170000000</v>
      </c>
      <c r="BM23" s="1008"/>
      <c r="BN23" s="1008"/>
      <c r="BO23" s="1008"/>
      <c r="BP23" s="1008"/>
      <c r="BQ23" s="1011">
        <f>1-AU23</f>
        <v>0.27346422850844965</v>
      </c>
      <c r="BR23" s="1008">
        <f t="shared" si="6"/>
        <v>74436963</v>
      </c>
      <c r="BS23" s="1008">
        <f t="shared" si="7"/>
        <v>0</v>
      </c>
      <c r="BT23" s="1008">
        <f t="shared" si="23"/>
        <v>0</v>
      </c>
      <c r="BU23" s="1008"/>
      <c r="BV23" s="1008">
        <f t="shared" si="9"/>
        <v>0</v>
      </c>
      <c r="BW23" s="1008"/>
      <c r="BX23" s="1008">
        <f t="shared" si="10"/>
        <v>0</v>
      </c>
      <c r="BY23" s="1008">
        <f t="shared" si="10"/>
        <v>0</v>
      </c>
      <c r="BZ23" s="1008"/>
      <c r="CA23" s="1008"/>
      <c r="CB23" s="1008"/>
      <c r="CC23" s="1008"/>
      <c r="CD23" s="1008">
        <f t="shared" si="24"/>
        <v>0</v>
      </c>
      <c r="CE23" s="1008">
        <f t="shared" si="24"/>
        <v>0</v>
      </c>
      <c r="CF23" s="1008">
        <f t="shared" si="24"/>
        <v>0</v>
      </c>
      <c r="CG23" s="1008">
        <f t="shared" si="24"/>
        <v>72236963</v>
      </c>
      <c r="CH23" s="1008">
        <f t="shared" si="24"/>
        <v>0</v>
      </c>
      <c r="CI23" s="1008">
        <f t="shared" si="24"/>
        <v>0</v>
      </c>
      <c r="CJ23" s="1008"/>
      <c r="CK23" s="1008"/>
      <c r="CL23" s="1008">
        <f t="shared" si="12"/>
        <v>2200000</v>
      </c>
      <c r="CM23" s="1011">
        <f t="shared" si="13"/>
        <v>0.6257246399706099</v>
      </c>
      <c r="CN23" s="1008">
        <f t="shared" si="14"/>
        <v>170322247</v>
      </c>
      <c r="CO23" s="1008"/>
      <c r="CP23" s="1008"/>
      <c r="CQ23" s="1008"/>
      <c r="CR23" s="1008"/>
      <c r="CS23" s="1008"/>
      <c r="CT23" s="1008"/>
      <c r="CU23" s="1008"/>
      <c r="CV23" s="1008"/>
      <c r="CW23" s="1008"/>
      <c r="CX23" s="1008"/>
      <c r="CY23" s="1008"/>
      <c r="CZ23" s="1008"/>
      <c r="DA23" s="1008"/>
      <c r="DB23" s="1008"/>
      <c r="DC23" s="1008">
        <f>+'[18]OCTUBRE 2015'!$H$3030</f>
        <v>473037</v>
      </c>
      <c r="DD23" s="1008">
        <f>+'[18]OCTUBRE 2015'!$H$2992</f>
        <v>169849210</v>
      </c>
      <c r="DE23" s="1008"/>
      <c r="DF23" s="1008"/>
      <c r="DG23" s="1008"/>
      <c r="DH23" s="1008"/>
      <c r="DI23" s="1011">
        <f t="shared" si="15"/>
        <v>0.3742753600293901</v>
      </c>
      <c r="DJ23" s="1008">
        <f t="shared" si="16"/>
        <v>101877753</v>
      </c>
      <c r="DK23" s="1008">
        <f t="shared" si="17"/>
        <v>0</v>
      </c>
      <c r="DL23" s="1008">
        <f t="shared" si="17"/>
        <v>0</v>
      </c>
      <c r="DM23" s="1008"/>
      <c r="DN23" s="1008">
        <f t="shared" si="18"/>
        <v>0</v>
      </c>
      <c r="DO23" s="1008">
        <f t="shared" si="18"/>
        <v>0</v>
      </c>
      <c r="DP23" s="1008">
        <f t="shared" si="18"/>
        <v>0</v>
      </c>
      <c r="DQ23" s="1008">
        <f t="shared" si="18"/>
        <v>0</v>
      </c>
      <c r="DR23" s="1008"/>
      <c r="DS23" s="1008">
        <f t="shared" si="19"/>
        <v>0</v>
      </c>
      <c r="DT23" s="1008">
        <f t="shared" si="19"/>
        <v>0</v>
      </c>
      <c r="DU23" s="1008"/>
      <c r="DV23" s="1008">
        <f t="shared" si="20"/>
        <v>0</v>
      </c>
      <c r="DW23" s="1008">
        <f t="shared" si="20"/>
        <v>0</v>
      </c>
      <c r="DX23" s="1008">
        <f t="shared" si="20"/>
        <v>0</v>
      </c>
      <c r="DY23" s="1008">
        <f t="shared" si="21"/>
        <v>99526963</v>
      </c>
      <c r="DZ23" s="1008">
        <f t="shared" si="21"/>
        <v>150790</v>
      </c>
      <c r="EA23" s="1008">
        <f t="shared" si="21"/>
        <v>0</v>
      </c>
      <c r="EB23" s="1008">
        <f t="shared" si="21"/>
        <v>0</v>
      </c>
      <c r="EC23" s="1008"/>
      <c r="ED23" s="1008">
        <f t="shared" si="22"/>
        <v>2200000</v>
      </c>
    </row>
    <row r="24" spans="1:134" ht="62.25" hidden="1" customHeight="1" x14ac:dyDescent="0.25">
      <c r="A24" s="1562"/>
      <c r="B24" s="1066" t="s">
        <v>4303</v>
      </c>
      <c r="C24" s="1116" t="s">
        <v>4402</v>
      </c>
      <c r="D24" s="1019" t="s">
        <v>4573</v>
      </c>
      <c r="E24" s="1020">
        <v>510</v>
      </c>
      <c r="F24" s="1120" t="s">
        <v>4660</v>
      </c>
      <c r="G24" s="1399">
        <v>180000000</v>
      </c>
      <c r="H24" s="1061">
        <f t="shared" si="0"/>
        <v>90400770</v>
      </c>
      <c r="I24" s="1061">
        <f t="shared" si="1"/>
        <v>9599230</v>
      </c>
      <c r="J24" s="1399" t="s">
        <v>4771</v>
      </c>
      <c r="K24" s="1590">
        <v>1</v>
      </c>
      <c r="L24" s="1283" t="s">
        <v>4772</v>
      </c>
      <c r="M24" s="1115">
        <v>0</v>
      </c>
      <c r="N24" s="1115">
        <v>0</v>
      </c>
      <c r="O24" s="1115">
        <v>0</v>
      </c>
      <c r="P24" s="1115">
        <v>26</v>
      </c>
      <c r="Q24" s="1115">
        <v>41</v>
      </c>
      <c r="R24" s="1115">
        <v>11</v>
      </c>
      <c r="S24" s="1124"/>
      <c r="T24" s="1124"/>
      <c r="U24" s="1124"/>
      <c r="V24" s="1124"/>
      <c r="W24" s="1124"/>
      <c r="X24" s="1124"/>
      <c r="Y24" s="1008">
        <f t="shared" si="2"/>
        <v>100000000</v>
      </c>
      <c r="Z24" s="1008"/>
      <c r="AA24" s="1008"/>
      <c r="AB24" s="1008"/>
      <c r="AC24" s="1008"/>
      <c r="AD24" s="1008"/>
      <c r="AE24" s="1008">
        <v>100000000</v>
      </c>
      <c r="AF24" s="1008"/>
      <c r="AG24" s="1008"/>
      <c r="AH24" s="1008"/>
      <c r="AI24" s="1008"/>
      <c r="AJ24" s="1008"/>
      <c r="AK24" s="1008"/>
      <c r="AL24" s="1008"/>
      <c r="AM24" s="1008"/>
      <c r="AN24" s="1008"/>
      <c r="AO24" s="1008"/>
      <c r="AP24" s="1008"/>
      <c r="AQ24" s="1008"/>
      <c r="AR24" s="1008"/>
      <c r="AS24" s="1008"/>
      <c r="AU24" s="1011">
        <f t="shared" si="3"/>
        <v>0.95474791000000003</v>
      </c>
      <c r="AV24" s="1008">
        <f t="shared" si="4"/>
        <v>95474791</v>
      </c>
      <c r="AW24" s="1008"/>
      <c r="AX24" s="1008"/>
      <c r="AY24" s="1008"/>
      <c r="AZ24" s="1008"/>
      <c r="BA24" s="1008"/>
      <c r="BB24" s="1008">
        <f>+'[18]OCTUBRE 2015'!$O$3038</f>
        <v>95474791</v>
      </c>
      <c r="BC24" s="1008"/>
      <c r="BD24" s="1008"/>
      <c r="BE24" s="1008"/>
      <c r="BF24" s="1008"/>
      <c r="BG24" s="1008"/>
      <c r="BH24" s="1008"/>
      <c r="BI24" s="1008"/>
      <c r="BJ24" s="1008"/>
      <c r="BK24" s="1008"/>
      <c r="BL24" s="1008"/>
      <c r="BM24" s="1008"/>
      <c r="BN24" s="1008"/>
      <c r="BO24" s="1008"/>
      <c r="BP24" s="1008"/>
      <c r="BQ24" s="1011">
        <f t="shared" ref="BQ24:BQ87" si="25">1-AU24</f>
        <v>4.5252089999999967E-2</v>
      </c>
      <c r="BR24" s="1008">
        <f t="shared" si="6"/>
        <v>4525209</v>
      </c>
      <c r="BS24" s="1008">
        <f t="shared" si="7"/>
        <v>0</v>
      </c>
      <c r="BT24" s="1008">
        <f t="shared" si="23"/>
        <v>0</v>
      </c>
      <c r="BU24" s="1008"/>
      <c r="BV24" s="1008">
        <f t="shared" si="9"/>
        <v>0</v>
      </c>
      <c r="BW24" s="1008"/>
      <c r="BX24" s="1008">
        <f t="shared" si="10"/>
        <v>4525209</v>
      </c>
      <c r="BY24" s="1008">
        <f t="shared" si="10"/>
        <v>0</v>
      </c>
      <c r="BZ24" s="1008"/>
      <c r="CA24" s="1008">
        <f>+AH24-BE24</f>
        <v>0</v>
      </c>
      <c r="CB24" s="1008">
        <f>+AI24-BF24</f>
        <v>0</v>
      </c>
      <c r="CC24" s="1008">
        <f>+AJ24-BG24</f>
        <v>0</v>
      </c>
      <c r="CD24" s="1008">
        <f t="shared" si="24"/>
        <v>0</v>
      </c>
      <c r="CE24" s="1008">
        <f t="shared" si="24"/>
        <v>0</v>
      </c>
      <c r="CF24" s="1008">
        <f t="shared" si="24"/>
        <v>0</v>
      </c>
      <c r="CG24" s="1008">
        <f t="shared" si="24"/>
        <v>0</v>
      </c>
      <c r="CH24" s="1008">
        <f t="shared" si="24"/>
        <v>0</v>
      </c>
      <c r="CI24" s="1008">
        <f t="shared" si="24"/>
        <v>0</v>
      </c>
      <c r="CJ24" s="1008">
        <f>+AQ24-BN24</f>
        <v>0</v>
      </c>
      <c r="CK24" s="1008">
        <f>+AR24-BO24</f>
        <v>0</v>
      </c>
      <c r="CL24" s="1008">
        <f t="shared" si="12"/>
        <v>0</v>
      </c>
      <c r="CM24" s="1011">
        <f t="shared" si="13"/>
        <v>0.90400769999999997</v>
      </c>
      <c r="CN24" s="1008">
        <f t="shared" si="14"/>
        <v>90400770</v>
      </c>
      <c r="CO24" s="1008"/>
      <c r="CP24" s="1008"/>
      <c r="CQ24" s="1008"/>
      <c r="CR24" s="1008"/>
      <c r="CS24" s="1008"/>
      <c r="CT24" s="1008">
        <f>+'[18]OCTUBRE 2015'!$H$3036</f>
        <v>90400770</v>
      </c>
      <c r="CU24" s="1008"/>
      <c r="CV24" s="1008"/>
      <c r="CW24" s="1008"/>
      <c r="CX24" s="1008"/>
      <c r="CY24" s="1008"/>
      <c r="CZ24" s="1008"/>
      <c r="DA24" s="1008"/>
      <c r="DB24" s="1008"/>
      <c r="DC24" s="1008"/>
      <c r="DD24" s="1008"/>
      <c r="DE24" s="1008"/>
      <c r="DF24" s="1008"/>
      <c r="DG24" s="1008"/>
      <c r="DH24" s="1008"/>
      <c r="DI24" s="1011">
        <f t="shared" si="15"/>
        <v>9.599230000000003E-2</v>
      </c>
      <c r="DJ24" s="1008">
        <f t="shared" si="16"/>
        <v>9599230</v>
      </c>
      <c r="DK24" s="1008">
        <f t="shared" si="17"/>
        <v>0</v>
      </c>
      <c r="DL24" s="1008">
        <f t="shared" si="17"/>
        <v>0</v>
      </c>
      <c r="DM24" s="1008"/>
      <c r="DN24" s="1008">
        <f t="shared" si="18"/>
        <v>0</v>
      </c>
      <c r="DO24" s="1008">
        <f t="shared" si="18"/>
        <v>0</v>
      </c>
      <c r="DP24" s="1008">
        <f t="shared" si="18"/>
        <v>9599230</v>
      </c>
      <c r="DQ24" s="1008">
        <f t="shared" si="18"/>
        <v>0</v>
      </c>
      <c r="DR24" s="1008"/>
      <c r="DS24" s="1008">
        <f t="shared" si="19"/>
        <v>0</v>
      </c>
      <c r="DT24" s="1008">
        <f t="shared" si="19"/>
        <v>0</v>
      </c>
      <c r="DU24" s="1008"/>
      <c r="DV24" s="1008">
        <f t="shared" si="20"/>
        <v>0</v>
      </c>
      <c r="DW24" s="1008">
        <f t="shared" si="20"/>
        <v>0</v>
      </c>
      <c r="DX24" s="1008">
        <f t="shared" si="20"/>
        <v>0</v>
      </c>
      <c r="DY24" s="1008">
        <f t="shared" si="21"/>
        <v>0</v>
      </c>
      <c r="DZ24" s="1008">
        <f t="shared" si="21"/>
        <v>0</v>
      </c>
      <c r="EA24" s="1008">
        <f t="shared" si="21"/>
        <v>0</v>
      </c>
      <c r="EB24" s="1008">
        <f t="shared" si="21"/>
        <v>0</v>
      </c>
      <c r="EC24" s="1008"/>
      <c r="ED24" s="1008">
        <f t="shared" si="22"/>
        <v>0</v>
      </c>
    </row>
    <row r="25" spans="1:134" ht="51.75" hidden="1" customHeight="1" x14ac:dyDescent="0.25">
      <c r="A25" s="1562"/>
      <c r="B25" s="1024"/>
      <c r="C25" s="1116" t="s">
        <v>4575</v>
      </c>
      <c r="D25" s="1019" t="s">
        <v>4574</v>
      </c>
      <c r="E25" s="1020">
        <v>510</v>
      </c>
      <c r="F25" s="1120" t="s">
        <v>4660</v>
      </c>
      <c r="G25" s="1400"/>
      <c r="H25" s="1061">
        <f t="shared" si="0"/>
        <v>11870754</v>
      </c>
      <c r="I25" s="1061">
        <f t="shared" si="1"/>
        <v>18129246</v>
      </c>
      <c r="J25" s="1400"/>
      <c r="K25" s="1591"/>
      <c r="L25" s="1573"/>
      <c r="M25" s="1115">
        <v>0</v>
      </c>
      <c r="N25" s="1115">
        <v>4</v>
      </c>
      <c r="O25" s="1115">
        <v>0</v>
      </c>
      <c r="P25" s="1115">
        <v>22</v>
      </c>
      <c r="Q25" s="1115">
        <v>26</v>
      </c>
      <c r="R25" s="1115">
        <v>6</v>
      </c>
      <c r="S25" s="1125"/>
      <c r="T25" s="1125"/>
      <c r="U25" s="1125"/>
      <c r="V25" s="1125"/>
      <c r="W25" s="1125"/>
      <c r="X25" s="1125"/>
      <c r="Y25" s="1008">
        <f t="shared" si="2"/>
        <v>30000000</v>
      </c>
      <c r="Z25" s="1008"/>
      <c r="AA25" s="1008"/>
      <c r="AB25" s="1008"/>
      <c r="AC25" s="1008"/>
      <c r="AD25" s="1008"/>
      <c r="AE25" s="1008">
        <v>20000000</v>
      </c>
      <c r="AF25" s="1008"/>
      <c r="AG25" s="1008"/>
      <c r="AH25" s="1008"/>
      <c r="AI25" s="1008"/>
      <c r="AJ25" s="1008"/>
      <c r="AK25" s="1008"/>
      <c r="AL25" s="1008"/>
      <c r="AM25" s="1008"/>
      <c r="AN25" s="1008">
        <v>10000000</v>
      </c>
      <c r="AO25" s="1008"/>
      <c r="AP25" s="1008"/>
      <c r="AQ25" s="1008"/>
      <c r="AR25" s="1008"/>
      <c r="AS25" s="1008"/>
      <c r="AU25" s="1011">
        <f t="shared" si="3"/>
        <v>0.39569179999999998</v>
      </c>
      <c r="AV25" s="1008">
        <f t="shared" si="4"/>
        <v>11870754</v>
      </c>
      <c r="AW25" s="1008"/>
      <c r="AX25" s="1008"/>
      <c r="AY25" s="1008"/>
      <c r="AZ25" s="1008"/>
      <c r="BA25" s="1008"/>
      <c r="BB25" s="1008">
        <f>+'[17]SEPTIEMBRE 2015'!$O$2626</f>
        <v>9801842</v>
      </c>
      <c r="BC25" s="1008"/>
      <c r="BD25" s="1008"/>
      <c r="BE25" s="1008"/>
      <c r="BF25" s="1008"/>
      <c r="BG25" s="1008"/>
      <c r="BH25" s="1008"/>
      <c r="BI25" s="1008"/>
      <c r="BJ25" s="1008"/>
      <c r="BK25" s="1008">
        <f>+'[14]JUNIO 2015'!$X$1613</f>
        <v>2068912</v>
      </c>
      <c r="BL25" s="1008"/>
      <c r="BM25" s="1008"/>
      <c r="BN25" s="1008"/>
      <c r="BO25" s="1008"/>
      <c r="BP25" s="1008"/>
      <c r="BQ25" s="1011">
        <f t="shared" si="25"/>
        <v>0.60430819999999996</v>
      </c>
      <c r="BR25" s="1008">
        <f t="shared" si="6"/>
        <v>18129246</v>
      </c>
      <c r="BS25" s="1008">
        <f t="shared" si="7"/>
        <v>0</v>
      </c>
      <c r="BT25" s="1008">
        <f t="shared" si="23"/>
        <v>0</v>
      </c>
      <c r="BU25" s="1008"/>
      <c r="BV25" s="1008">
        <f t="shared" si="9"/>
        <v>0</v>
      </c>
      <c r="BW25" s="1008"/>
      <c r="BX25" s="1008">
        <f t="shared" si="10"/>
        <v>10198158</v>
      </c>
      <c r="BY25" s="1008">
        <f t="shared" si="10"/>
        <v>0</v>
      </c>
      <c r="BZ25" s="1008"/>
      <c r="CA25" s="1008"/>
      <c r="CB25" s="1008"/>
      <c r="CC25" s="1008"/>
      <c r="CD25" s="1008">
        <f t="shared" si="24"/>
        <v>0</v>
      </c>
      <c r="CE25" s="1008">
        <f t="shared" si="24"/>
        <v>0</v>
      </c>
      <c r="CF25" s="1008">
        <f t="shared" si="24"/>
        <v>0</v>
      </c>
      <c r="CG25" s="1008">
        <f t="shared" si="24"/>
        <v>7931088</v>
      </c>
      <c r="CH25" s="1008">
        <f t="shared" si="24"/>
        <v>0</v>
      </c>
      <c r="CI25" s="1008">
        <f t="shared" si="24"/>
        <v>0</v>
      </c>
      <c r="CJ25" s="1008"/>
      <c r="CK25" s="1008"/>
      <c r="CL25" s="1008">
        <f t="shared" si="12"/>
        <v>0</v>
      </c>
      <c r="CM25" s="1011">
        <f t="shared" si="13"/>
        <v>0.39569179999999998</v>
      </c>
      <c r="CN25" s="1008">
        <f t="shared" si="14"/>
        <v>11870754</v>
      </c>
      <c r="CO25" s="1008"/>
      <c r="CP25" s="1008"/>
      <c r="CQ25" s="1008"/>
      <c r="CR25" s="1008"/>
      <c r="CS25" s="1008"/>
      <c r="CT25" s="1008">
        <f>+'[17]SEPTIEMBRE 2015'!$H$2624-DC25</f>
        <v>9801842</v>
      </c>
      <c r="CU25" s="1008"/>
      <c r="CV25" s="1008"/>
      <c r="CW25" s="1008"/>
      <c r="CX25" s="1008"/>
      <c r="CY25" s="1008"/>
      <c r="CZ25" s="1008"/>
      <c r="DA25" s="1008"/>
      <c r="DB25" s="1008"/>
      <c r="DC25" s="1008">
        <f>+'[17]SEPTIEMBRE 2015'!$H$2627+'[17]SEPTIEMBRE 2015'!$H$2628+'[17]SEPTIEMBRE 2015'!$H$2629</f>
        <v>2068912</v>
      </c>
      <c r="DD25" s="1008"/>
      <c r="DE25" s="1008"/>
      <c r="DF25" s="1008"/>
      <c r="DG25" s="1008"/>
      <c r="DH25" s="1008"/>
      <c r="DI25" s="1011">
        <f t="shared" si="15"/>
        <v>0.60430819999999996</v>
      </c>
      <c r="DJ25" s="1008">
        <f t="shared" si="16"/>
        <v>18129246</v>
      </c>
      <c r="DK25" s="1008">
        <f t="shared" si="17"/>
        <v>0</v>
      </c>
      <c r="DL25" s="1008">
        <f t="shared" si="17"/>
        <v>0</v>
      </c>
      <c r="DM25" s="1008"/>
      <c r="DN25" s="1008">
        <f t="shared" si="18"/>
        <v>0</v>
      </c>
      <c r="DO25" s="1008">
        <f t="shared" si="18"/>
        <v>0</v>
      </c>
      <c r="DP25" s="1008">
        <f t="shared" si="18"/>
        <v>10198158</v>
      </c>
      <c r="DQ25" s="1008">
        <f t="shared" si="18"/>
        <v>0</v>
      </c>
      <c r="DR25" s="1008"/>
      <c r="DS25" s="1008">
        <f t="shared" si="19"/>
        <v>0</v>
      </c>
      <c r="DT25" s="1008">
        <f t="shared" si="19"/>
        <v>0</v>
      </c>
      <c r="DU25" s="1008"/>
      <c r="DV25" s="1008">
        <f t="shared" si="20"/>
        <v>0</v>
      </c>
      <c r="DW25" s="1008">
        <f t="shared" si="20"/>
        <v>0</v>
      </c>
      <c r="DX25" s="1008">
        <f t="shared" si="20"/>
        <v>0</v>
      </c>
      <c r="DY25" s="1008">
        <f t="shared" si="21"/>
        <v>7931088</v>
      </c>
      <c r="DZ25" s="1008">
        <f t="shared" si="21"/>
        <v>0</v>
      </c>
      <c r="EA25" s="1008">
        <f t="shared" si="21"/>
        <v>0</v>
      </c>
      <c r="EB25" s="1008">
        <f t="shared" si="21"/>
        <v>0</v>
      </c>
      <c r="EC25" s="1008"/>
      <c r="ED25" s="1008">
        <f t="shared" si="22"/>
        <v>0</v>
      </c>
    </row>
    <row r="26" spans="1:134" ht="60" hidden="1" customHeight="1" x14ac:dyDescent="0.25">
      <c r="A26" s="1562"/>
      <c r="B26" s="1025"/>
      <c r="C26" s="1116" t="s">
        <v>4576</v>
      </c>
      <c r="D26" s="1019" t="s">
        <v>4703</v>
      </c>
      <c r="E26" s="1020">
        <v>510</v>
      </c>
      <c r="F26" s="1120" t="s">
        <v>4660</v>
      </c>
      <c r="G26" s="1401"/>
      <c r="H26" s="1061">
        <f t="shared" si="0"/>
        <v>0</v>
      </c>
      <c r="I26" s="1061">
        <f t="shared" si="1"/>
        <v>60000000</v>
      </c>
      <c r="J26" s="1401"/>
      <c r="K26" s="1592"/>
      <c r="L26" s="1284"/>
      <c r="M26" s="1115">
        <v>0</v>
      </c>
      <c r="N26" s="1115">
        <v>0</v>
      </c>
      <c r="O26" s="1115">
        <v>0</v>
      </c>
      <c r="P26" s="1115">
        <v>0</v>
      </c>
      <c r="Q26" s="1115">
        <v>0</v>
      </c>
      <c r="R26" s="1115">
        <v>0</v>
      </c>
      <c r="S26" s="1126"/>
      <c r="T26" s="1126"/>
      <c r="U26" s="1126"/>
      <c r="V26" s="1126"/>
      <c r="W26" s="1126"/>
      <c r="X26" s="1126"/>
      <c r="Y26" s="1008">
        <f t="shared" si="2"/>
        <v>60000000</v>
      </c>
      <c r="Z26" s="1008"/>
      <c r="AA26" s="1008"/>
      <c r="AB26" s="1008"/>
      <c r="AC26" s="1008"/>
      <c r="AD26" s="1008"/>
      <c r="AE26" s="1008">
        <v>60000000</v>
      </c>
      <c r="AF26" s="1008"/>
      <c r="AG26" s="1008"/>
      <c r="AH26" s="1008"/>
      <c r="AI26" s="1008"/>
      <c r="AJ26" s="1008"/>
      <c r="AK26" s="1008"/>
      <c r="AL26" s="1008"/>
      <c r="AM26" s="1008"/>
      <c r="AN26" s="1008"/>
      <c r="AO26" s="1008"/>
      <c r="AP26" s="1008"/>
      <c r="AQ26" s="1008"/>
      <c r="AR26" s="1008"/>
      <c r="AS26" s="1008"/>
      <c r="AU26" s="1011">
        <f t="shared" si="3"/>
        <v>0</v>
      </c>
      <c r="AV26" s="1008">
        <f t="shared" si="4"/>
        <v>0</v>
      </c>
      <c r="AW26" s="1008"/>
      <c r="AX26" s="1008"/>
      <c r="AY26" s="1008"/>
      <c r="AZ26" s="1008"/>
      <c r="BA26" s="1008"/>
      <c r="BB26" s="1008"/>
      <c r="BC26" s="1008"/>
      <c r="BD26" s="1008"/>
      <c r="BE26" s="1008"/>
      <c r="BF26" s="1008"/>
      <c r="BG26" s="1008"/>
      <c r="BH26" s="1008"/>
      <c r="BI26" s="1008"/>
      <c r="BJ26" s="1008"/>
      <c r="BK26" s="1008"/>
      <c r="BL26" s="1008"/>
      <c r="BM26" s="1008"/>
      <c r="BN26" s="1008"/>
      <c r="BO26" s="1008"/>
      <c r="BP26" s="1008"/>
      <c r="BQ26" s="1011">
        <f t="shared" si="25"/>
        <v>1</v>
      </c>
      <c r="BR26" s="1008">
        <f t="shared" si="6"/>
        <v>60000000</v>
      </c>
      <c r="BS26" s="1008">
        <f t="shared" si="7"/>
        <v>0</v>
      </c>
      <c r="BT26" s="1008">
        <f t="shared" si="23"/>
        <v>0</v>
      </c>
      <c r="BU26" s="1008"/>
      <c r="BV26" s="1008">
        <f t="shared" si="9"/>
        <v>0</v>
      </c>
      <c r="BW26" s="1008"/>
      <c r="BX26" s="1008">
        <f t="shared" si="10"/>
        <v>60000000</v>
      </c>
      <c r="BY26" s="1008">
        <f t="shared" si="10"/>
        <v>0</v>
      </c>
      <c r="BZ26" s="1008"/>
      <c r="CA26" s="1008"/>
      <c r="CB26" s="1008"/>
      <c r="CC26" s="1008"/>
      <c r="CD26" s="1008">
        <f t="shared" si="24"/>
        <v>0</v>
      </c>
      <c r="CE26" s="1008">
        <f t="shared" si="24"/>
        <v>0</v>
      </c>
      <c r="CF26" s="1008">
        <f t="shared" si="24"/>
        <v>0</v>
      </c>
      <c r="CG26" s="1008">
        <f t="shared" si="24"/>
        <v>0</v>
      </c>
      <c r="CH26" s="1008">
        <f t="shared" si="24"/>
        <v>0</v>
      </c>
      <c r="CI26" s="1008">
        <f t="shared" si="24"/>
        <v>0</v>
      </c>
      <c r="CJ26" s="1008"/>
      <c r="CK26" s="1008"/>
      <c r="CL26" s="1008">
        <f t="shared" si="12"/>
        <v>0</v>
      </c>
      <c r="CM26" s="1011">
        <f t="shared" si="13"/>
        <v>0</v>
      </c>
      <c r="CN26" s="1008">
        <f t="shared" si="14"/>
        <v>0</v>
      </c>
      <c r="CO26" s="1008"/>
      <c r="CP26" s="1008"/>
      <c r="CQ26" s="1008"/>
      <c r="CR26" s="1008"/>
      <c r="CS26" s="1008"/>
      <c r="CT26" s="1008"/>
      <c r="CU26" s="1008"/>
      <c r="CV26" s="1008"/>
      <c r="CW26" s="1008"/>
      <c r="CX26" s="1008"/>
      <c r="CY26" s="1008"/>
      <c r="CZ26" s="1008"/>
      <c r="DA26" s="1008"/>
      <c r="DB26" s="1008"/>
      <c r="DC26" s="1008"/>
      <c r="DD26" s="1008"/>
      <c r="DE26" s="1008"/>
      <c r="DF26" s="1008"/>
      <c r="DG26" s="1008"/>
      <c r="DH26" s="1008"/>
      <c r="DI26" s="1011">
        <f t="shared" si="15"/>
        <v>1</v>
      </c>
      <c r="DJ26" s="1008">
        <f t="shared" si="16"/>
        <v>60000000</v>
      </c>
      <c r="DK26" s="1008">
        <f t="shared" si="17"/>
        <v>0</v>
      </c>
      <c r="DL26" s="1008">
        <f t="shared" si="17"/>
        <v>0</v>
      </c>
      <c r="DM26" s="1008"/>
      <c r="DN26" s="1008">
        <f t="shared" si="18"/>
        <v>0</v>
      </c>
      <c r="DO26" s="1008">
        <f t="shared" si="18"/>
        <v>0</v>
      </c>
      <c r="DP26" s="1008">
        <f t="shared" si="18"/>
        <v>60000000</v>
      </c>
      <c r="DQ26" s="1008">
        <f t="shared" si="18"/>
        <v>0</v>
      </c>
      <c r="DR26" s="1008"/>
      <c r="DS26" s="1008">
        <f t="shared" si="19"/>
        <v>0</v>
      </c>
      <c r="DT26" s="1008">
        <f t="shared" si="19"/>
        <v>0</v>
      </c>
      <c r="DU26" s="1008"/>
      <c r="DV26" s="1008">
        <f t="shared" si="20"/>
        <v>0</v>
      </c>
      <c r="DW26" s="1008">
        <f t="shared" si="20"/>
        <v>0</v>
      </c>
      <c r="DX26" s="1008">
        <f t="shared" si="20"/>
        <v>0</v>
      </c>
      <c r="DY26" s="1008">
        <f t="shared" si="21"/>
        <v>0</v>
      </c>
      <c r="DZ26" s="1008">
        <f t="shared" si="21"/>
        <v>0</v>
      </c>
      <c r="EA26" s="1008">
        <f t="shared" si="21"/>
        <v>0</v>
      </c>
      <c r="EB26" s="1008">
        <f t="shared" si="21"/>
        <v>0</v>
      </c>
      <c r="EC26" s="1008"/>
      <c r="ED26" s="1008">
        <f t="shared" si="22"/>
        <v>0</v>
      </c>
    </row>
    <row r="27" spans="1:134" ht="31.5" hidden="1" customHeight="1" x14ac:dyDescent="0.25">
      <c r="A27" s="1562"/>
      <c r="B27" s="1021" t="s">
        <v>4304</v>
      </c>
      <c r="C27" s="1116" t="s">
        <v>4403</v>
      </c>
      <c r="D27" s="1019" t="s">
        <v>4577</v>
      </c>
      <c r="E27" s="1020">
        <v>510</v>
      </c>
      <c r="F27" s="1120" t="s">
        <v>4660</v>
      </c>
      <c r="G27" s="1399">
        <v>80000000</v>
      </c>
      <c r="H27" s="1061">
        <f t="shared" si="0"/>
        <v>0</v>
      </c>
      <c r="I27" s="1061">
        <f t="shared" si="1"/>
        <v>0</v>
      </c>
      <c r="J27" s="1399" t="s">
        <v>4773</v>
      </c>
      <c r="K27" s="1283" t="s">
        <v>4774</v>
      </c>
      <c r="L27" s="1283" t="s">
        <v>4775</v>
      </c>
      <c r="M27" s="1115">
        <v>0</v>
      </c>
      <c r="N27" s="1115">
        <v>0</v>
      </c>
      <c r="O27" s="1115">
        <v>0</v>
      </c>
      <c r="P27" s="1115">
        <v>0</v>
      </c>
      <c r="Q27" s="1115">
        <v>20</v>
      </c>
      <c r="R27" s="1115">
        <v>0</v>
      </c>
      <c r="S27" s="1124"/>
      <c r="T27" s="1124"/>
      <c r="U27" s="1124"/>
      <c r="V27" s="1124"/>
      <c r="W27" s="1124"/>
      <c r="X27" s="1124"/>
      <c r="Y27" s="1008">
        <f t="shared" si="2"/>
        <v>0</v>
      </c>
      <c r="Z27" s="1008"/>
      <c r="AA27" s="1008"/>
      <c r="AB27" s="1008"/>
      <c r="AC27" s="1008"/>
      <c r="AD27" s="1008"/>
      <c r="AE27" s="1008"/>
      <c r="AF27" s="1008"/>
      <c r="AG27" s="1008"/>
      <c r="AH27" s="1008"/>
      <c r="AI27" s="1008"/>
      <c r="AJ27" s="1008"/>
      <c r="AK27" s="1008"/>
      <c r="AL27" s="1008"/>
      <c r="AM27" s="1008">
        <f>40000000-40000000</f>
        <v>0</v>
      </c>
      <c r="AN27" s="1008"/>
      <c r="AO27" s="1008"/>
      <c r="AP27" s="1008"/>
      <c r="AQ27" s="1008"/>
      <c r="AR27" s="1008"/>
      <c r="AS27" s="1008"/>
      <c r="AU27" s="1011">
        <v>0</v>
      </c>
      <c r="AV27" s="1008">
        <f t="shared" si="4"/>
        <v>0</v>
      </c>
      <c r="AW27" s="1008"/>
      <c r="AX27" s="1008"/>
      <c r="AY27" s="1008"/>
      <c r="AZ27" s="1008"/>
      <c r="BA27" s="1008"/>
      <c r="BB27" s="1008"/>
      <c r="BC27" s="1008"/>
      <c r="BD27" s="1008"/>
      <c r="BE27" s="1008"/>
      <c r="BF27" s="1008"/>
      <c r="BG27" s="1008"/>
      <c r="BH27" s="1008"/>
      <c r="BI27" s="1008"/>
      <c r="BJ27" s="1008"/>
      <c r="BK27" s="1008"/>
      <c r="BL27" s="1008"/>
      <c r="BM27" s="1008"/>
      <c r="BN27" s="1008"/>
      <c r="BO27" s="1008"/>
      <c r="BP27" s="1008"/>
      <c r="BQ27" s="1011">
        <v>0</v>
      </c>
      <c r="BR27" s="1008">
        <f t="shared" si="6"/>
        <v>0</v>
      </c>
      <c r="BS27" s="1008">
        <f t="shared" si="7"/>
        <v>0</v>
      </c>
      <c r="BT27" s="1008">
        <f t="shared" si="23"/>
        <v>0</v>
      </c>
      <c r="BU27" s="1008"/>
      <c r="BV27" s="1008">
        <f t="shared" si="9"/>
        <v>0</v>
      </c>
      <c r="BW27" s="1008"/>
      <c r="BX27" s="1008">
        <f t="shared" si="10"/>
        <v>0</v>
      </c>
      <c r="BY27" s="1008">
        <f t="shared" si="10"/>
        <v>0</v>
      </c>
      <c r="BZ27" s="1008"/>
      <c r="CA27" s="1008"/>
      <c r="CB27" s="1008"/>
      <c r="CC27" s="1008"/>
      <c r="CD27" s="1008">
        <f t="shared" si="24"/>
        <v>0</v>
      </c>
      <c r="CE27" s="1008">
        <f t="shared" si="24"/>
        <v>0</v>
      </c>
      <c r="CF27" s="1008">
        <f t="shared" si="24"/>
        <v>0</v>
      </c>
      <c r="CG27" s="1008">
        <f t="shared" si="24"/>
        <v>0</v>
      </c>
      <c r="CH27" s="1008">
        <f t="shared" si="24"/>
        <v>0</v>
      </c>
      <c r="CI27" s="1008">
        <f t="shared" si="24"/>
        <v>0</v>
      </c>
      <c r="CJ27" s="1008"/>
      <c r="CK27" s="1008"/>
      <c r="CL27" s="1008">
        <f t="shared" si="12"/>
        <v>0</v>
      </c>
      <c r="CM27" s="1011">
        <v>0</v>
      </c>
      <c r="CN27" s="1008">
        <f t="shared" si="14"/>
        <v>0</v>
      </c>
      <c r="CO27" s="1008"/>
      <c r="CP27" s="1008"/>
      <c r="CQ27" s="1008"/>
      <c r="CR27" s="1008"/>
      <c r="CS27" s="1008"/>
      <c r="CT27" s="1008"/>
      <c r="CU27" s="1008"/>
      <c r="CV27" s="1008"/>
      <c r="CW27" s="1008"/>
      <c r="CX27" s="1008"/>
      <c r="CY27" s="1008"/>
      <c r="CZ27" s="1008"/>
      <c r="DA27" s="1008"/>
      <c r="DB27" s="1008"/>
      <c r="DC27" s="1008"/>
      <c r="DD27" s="1008"/>
      <c r="DE27" s="1008"/>
      <c r="DF27" s="1008"/>
      <c r="DG27" s="1008"/>
      <c r="DH27" s="1008"/>
      <c r="DI27" s="1011">
        <v>0</v>
      </c>
      <c r="DJ27" s="1008">
        <f t="shared" si="16"/>
        <v>0</v>
      </c>
      <c r="DK27" s="1008">
        <f t="shared" si="17"/>
        <v>0</v>
      </c>
      <c r="DL27" s="1008">
        <f t="shared" si="17"/>
        <v>0</v>
      </c>
      <c r="DM27" s="1008"/>
      <c r="DN27" s="1008">
        <f t="shared" si="18"/>
        <v>0</v>
      </c>
      <c r="DO27" s="1008">
        <f t="shared" si="18"/>
        <v>0</v>
      </c>
      <c r="DP27" s="1008">
        <f t="shared" si="18"/>
        <v>0</v>
      </c>
      <c r="DQ27" s="1008">
        <f t="shared" si="18"/>
        <v>0</v>
      </c>
      <c r="DR27" s="1008"/>
      <c r="DS27" s="1008">
        <f t="shared" si="19"/>
        <v>0</v>
      </c>
      <c r="DT27" s="1008">
        <f t="shared" si="19"/>
        <v>0</v>
      </c>
      <c r="DU27" s="1008"/>
      <c r="DV27" s="1008">
        <f t="shared" si="20"/>
        <v>0</v>
      </c>
      <c r="DW27" s="1008">
        <f t="shared" si="20"/>
        <v>0</v>
      </c>
      <c r="DX27" s="1008">
        <f t="shared" si="20"/>
        <v>0</v>
      </c>
      <c r="DY27" s="1008">
        <f t="shared" si="21"/>
        <v>0</v>
      </c>
      <c r="DZ27" s="1008">
        <f t="shared" si="21"/>
        <v>0</v>
      </c>
      <c r="EA27" s="1008">
        <f t="shared" si="21"/>
        <v>0</v>
      </c>
      <c r="EB27" s="1008">
        <f t="shared" si="21"/>
        <v>0</v>
      </c>
      <c r="EC27" s="1008"/>
      <c r="ED27" s="1008">
        <f t="shared" si="22"/>
        <v>0</v>
      </c>
    </row>
    <row r="28" spans="1:134" ht="39.75" hidden="1" customHeight="1" x14ac:dyDescent="0.25">
      <c r="A28" s="1562"/>
      <c r="B28" s="1021"/>
      <c r="C28" s="1116" t="s">
        <v>4598</v>
      </c>
      <c r="D28" s="1019" t="s">
        <v>4578</v>
      </c>
      <c r="E28" s="1020">
        <v>510</v>
      </c>
      <c r="F28" s="1120" t="s">
        <v>4660</v>
      </c>
      <c r="G28" s="1400"/>
      <c r="H28" s="1061">
        <f t="shared" si="0"/>
        <v>0</v>
      </c>
      <c r="I28" s="1061">
        <f t="shared" si="1"/>
        <v>45000000</v>
      </c>
      <c r="J28" s="1400"/>
      <c r="K28" s="1573"/>
      <c r="L28" s="1573"/>
      <c r="M28" s="1115">
        <v>0</v>
      </c>
      <c r="N28" s="1115">
        <v>0</v>
      </c>
      <c r="O28" s="1115">
        <v>0</v>
      </c>
      <c r="P28" s="1115">
        <v>0</v>
      </c>
      <c r="Q28" s="1115">
        <v>0</v>
      </c>
      <c r="R28" s="1115">
        <v>0</v>
      </c>
      <c r="S28" s="1125"/>
      <c r="T28" s="1125"/>
      <c r="U28" s="1125"/>
      <c r="V28" s="1125"/>
      <c r="W28" s="1125"/>
      <c r="X28" s="1125"/>
      <c r="Y28" s="1008">
        <f t="shared" si="2"/>
        <v>45000000</v>
      </c>
      <c r="Z28" s="1008"/>
      <c r="AA28" s="1008"/>
      <c r="AB28" s="1008"/>
      <c r="AC28" s="1008"/>
      <c r="AD28" s="1008"/>
      <c r="AE28" s="1008"/>
      <c r="AF28" s="1008"/>
      <c r="AG28" s="1008"/>
      <c r="AH28" s="1008"/>
      <c r="AI28" s="1008"/>
      <c r="AJ28" s="1008"/>
      <c r="AK28" s="1008"/>
      <c r="AL28" s="1008"/>
      <c r="AM28" s="1008">
        <f>5000000+40000000</f>
        <v>45000000</v>
      </c>
      <c r="AN28" s="1008"/>
      <c r="AO28" s="1008"/>
      <c r="AP28" s="1008"/>
      <c r="AQ28" s="1008"/>
      <c r="AR28" s="1008"/>
      <c r="AS28" s="1008"/>
      <c r="AU28" s="1011">
        <f t="shared" si="3"/>
        <v>0</v>
      </c>
      <c r="AV28" s="1008">
        <f t="shared" si="4"/>
        <v>0</v>
      </c>
      <c r="AW28" s="1008"/>
      <c r="AX28" s="1008"/>
      <c r="AY28" s="1008"/>
      <c r="AZ28" s="1008"/>
      <c r="BA28" s="1008"/>
      <c r="BB28" s="1008"/>
      <c r="BC28" s="1008"/>
      <c r="BD28" s="1008"/>
      <c r="BE28" s="1008"/>
      <c r="BF28" s="1008"/>
      <c r="BG28" s="1008"/>
      <c r="BH28" s="1008"/>
      <c r="BI28" s="1008"/>
      <c r="BJ28" s="1008"/>
      <c r="BK28" s="1008"/>
      <c r="BL28" s="1008"/>
      <c r="BM28" s="1008"/>
      <c r="BN28" s="1008"/>
      <c r="BO28" s="1008"/>
      <c r="BP28" s="1008"/>
      <c r="BQ28" s="1011">
        <f t="shared" si="25"/>
        <v>1</v>
      </c>
      <c r="BR28" s="1008">
        <f t="shared" si="6"/>
        <v>45000000</v>
      </c>
      <c r="BS28" s="1008">
        <f t="shared" si="7"/>
        <v>0</v>
      </c>
      <c r="BT28" s="1008">
        <f t="shared" si="23"/>
        <v>0</v>
      </c>
      <c r="BU28" s="1008"/>
      <c r="BV28" s="1008">
        <f t="shared" si="9"/>
        <v>0</v>
      </c>
      <c r="BW28" s="1008"/>
      <c r="BX28" s="1008">
        <f t="shared" si="10"/>
        <v>0</v>
      </c>
      <c r="BY28" s="1008">
        <f t="shared" si="10"/>
        <v>0</v>
      </c>
      <c r="BZ28" s="1008"/>
      <c r="CA28" s="1008"/>
      <c r="CB28" s="1008"/>
      <c r="CC28" s="1008"/>
      <c r="CD28" s="1008">
        <f t="shared" si="24"/>
        <v>0</v>
      </c>
      <c r="CE28" s="1008">
        <f t="shared" si="24"/>
        <v>0</v>
      </c>
      <c r="CF28" s="1008">
        <f t="shared" si="24"/>
        <v>45000000</v>
      </c>
      <c r="CG28" s="1008">
        <f t="shared" si="24"/>
        <v>0</v>
      </c>
      <c r="CH28" s="1008">
        <f t="shared" si="24"/>
        <v>0</v>
      </c>
      <c r="CI28" s="1008">
        <f t="shared" si="24"/>
        <v>0</v>
      </c>
      <c r="CJ28" s="1008"/>
      <c r="CK28" s="1008"/>
      <c r="CL28" s="1008">
        <f t="shared" si="12"/>
        <v>0</v>
      </c>
      <c r="CM28" s="1011">
        <f t="shared" si="13"/>
        <v>0</v>
      </c>
      <c r="CN28" s="1008">
        <f t="shared" si="14"/>
        <v>0</v>
      </c>
      <c r="CO28" s="1008"/>
      <c r="CP28" s="1008"/>
      <c r="CQ28" s="1008"/>
      <c r="CR28" s="1008"/>
      <c r="CS28" s="1008"/>
      <c r="CT28" s="1008"/>
      <c r="CU28" s="1008"/>
      <c r="CV28" s="1008"/>
      <c r="CW28" s="1008"/>
      <c r="CX28" s="1008"/>
      <c r="CY28" s="1008"/>
      <c r="CZ28" s="1008"/>
      <c r="DA28" s="1008"/>
      <c r="DB28" s="1008"/>
      <c r="DC28" s="1008"/>
      <c r="DD28" s="1008"/>
      <c r="DE28" s="1008"/>
      <c r="DF28" s="1008"/>
      <c r="DG28" s="1008"/>
      <c r="DH28" s="1008"/>
      <c r="DI28" s="1011">
        <f t="shared" si="15"/>
        <v>1</v>
      </c>
      <c r="DJ28" s="1008">
        <f t="shared" si="16"/>
        <v>45000000</v>
      </c>
      <c r="DK28" s="1008">
        <f t="shared" si="17"/>
        <v>0</v>
      </c>
      <c r="DL28" s="1008">
        <f t="shared" si="17"/>
        <v>0</v>
      </c>
      <c r="DM28" s="1008"/>
      <c r="DN28" s="1008">
        <f t="shared" si="18"/>
        <v>0</v>
      </c>
      <c r="DO28" s="1008">
        <f t="shared" si="18"/>
        <v>0</v>
      </c>
      <c r="DP28" s="1008">
        <f t="shared" si="18"/>
        <v>0</v>
      </c>
      <c r="DQ28" s="1008">
        <f t="shared" si="18"/>
        <v>0</v>
      </c>
      <c r="DR28" s="1008"/>
      <c r="DS28" s="1008">
        <f t="shared" si="19"/>
        <v>0</v>
      </c>
      <c r="DT28" s="1008">
        <f t="shared" si="19"/>
        <v>0</v>
      </c>
      <c r="DU28" s="1008"/>
      <c r="DV28" s="1008">
        <f t="shared" si="20"/>
        <v>0</v>
      </c>
      <c r="DW28" s="1008">
        <f t="shared" si="20"/>
        <v>0</v>
      </c>
      <c r="DX28" s="1008">
        <f t="shared" si="20"/>
        <v>45000000</v>
      </c>
      <c r="DY28" s="1008">
        <f t="shared" si="21"/>
        <v>0</v>
      </c>
      <c r="DZ28" s="1008">
        <f t="shared" si="21"/>
        <v>0</v>
      </c>
      <c r="EA28" s="1008">
        <f t="shared" si="21"/>
        <v>0</v>
      </c>
      <c r="EB28" s="1008">
        <f t="shared" si="21"/>
        <v>0</v>
      </c>
      <c r="EC28" s="1008"/>
      <c r="ED28" s="1008">
        <f t="shared" si="22"/>
        <v>0</v>
      </c>
    </row>
    <row r="29" spans="1:134" ht="48.75" hidden="1" customHeight="1" x14ac:dyDescent="0.25">
      <c r="A29" s="1562"/>
      <c r="B29" s="1021"/>
      <c r="C29" s="1116" t="s">
        <v>4599</v>
      </c>
      <c r="D29" s="1019" t="s">
        <v>4686</v>
      </c>
      <c r="E29" s="1020">
        <v>510</v>
      </c>
      <c r="F29" s="1120" t="s">
        <v>4660</v>
      </c>
      <c r="G29" s="1401"/>
      <c r="H29" s="1061">
        <f t="shared" si="0"/>
        <v>0</v>
      </c>
      <c r="I29" s="1061">
        <f t="shared" si="1"/>
        <v>65000000</v>
      </c>
      <c r="J29" s="1401"/>
      <c r="K29" s="1284"/>
      <c r="L29" s="1284"/>
      <c r="M29" s="1115">
        <v>0</v>
      </c>
      <c r="N29" s="1115">
        <v>0</v>
      </c>
      <c r="O29" s="1115">
        <v>0</v>
      </c>
      <c r="P29" s="1115">
        <v>0</v>
      </c>
      <c r="Q29" s="1115">
        <v>20</v>
      </c>
      <c r="R29" s="1115">
        <v>0</v>
      </c>
      <c r="S29" s="1126"/>
      <c r="T29" s="1126"/>
      <c r="U29" s="1126"/>
      <c r="V29" s="1126"/>
      <c r="W29" s="1126"/>
      <c r="X29" s="1126"/>
      <c r="Y29" s="1008">
        <f t="shared" si="2"/>
        <v>65000000</v>
      </c>
      <c r="Z29" s="1008"/>
      <c r="AA29" s="1008"/>
      <c r="AB29" s="1008"/>
      <c r="AC29" s="1008"/>
      <c r="AD29" s="1008"/>
      <c r="AE29" s="1008"/>
      <c r="AF29" s="1008"/>
      <c r="AG29" s="1008"/>
      <c r="AH29" s="1008"/>
      <c r="AI29" s="1008"/>
      <c r="AJ29" s="1008"/>
      <c r="AK29" s="1008"/>
      <c r="AL29" s="1008"/>
      <c r="AM29" s="1008">
        <v>35000000</v>
      </c>
      <c r="AN29" s="1008">
        <v>30000000</v>
      </c>
      <c r="AO29" s="1008"/>
      <c r="AP29" s="1008"/>
      <c r="AQ29" s="1008"/>
      <c r="AR29" s="1008"/>
      <c r="AS29" s="1008"/>
      <c r="AU29" s="1011">
        <f t="shared" si="3"/>
        <v>0</v>
      </c>
      <c r="AV29" s="1008">
        <f t="shared" si="4"/>
        <v>0</v>
      </c>
      <c r="AW29" s="1008"/>
      <c r="AX29" s="1008"/>
      <c r="AY29" s="1008"/>
      <c r="AZ29" s="1008"/>
      <c r="BA29" s="1008"/>
      <c r="BB29" s="1008"/>
      <c r="BC29" s="1008"/>
      <c r="BD29" s="1008"/>
      <c r="BE29" s="1008"/>
      <c r="BF29" s="1008"/>
      <c r="BG29" s="1008"/>
      <c r="BH29" s="1008"/>
      <c r="BI29" s="1008"/>
      <c r="BJ29" s="1008"/>
      <c r="BK29" s="1008"/>
      <c r="BL29" s="1008"/>
      <c r="BM29" s="1008"/>
      <c r="BN29" s="1008"/>
      <c r="BO29" s="1008"/>
      <c r="BP29" s="1008"/>
      <c r="BQ29" s="1011">
        <f t="shared" si="25"/>
        <v>1</v>
      </c>
      <c r="BR29" s="1008">
        <f t="shared" si="6"/>
        <v>65000000</v>
      </c>
      <c r="BS29" s="1008">
        <f t="shared" si="7"/>
        <v>0</v>
      </c>
      <c r="BT29" s="1008">
        <f t="shared" si="23"/>
        <v>0</v>
      </c>
      <c r="BU29" s="1008"/>
      <c r="BV29" s="1008">
        <f t="shared" si="9"/>
        <v>0</v>
      </c>
      <c r="BW29" s="1008"/>
      <c r="BX29" s="1008">
        <f t="shared" si="10"/>
        <v>0</v>
      </c>
      <c r="BY29" s="1008">
        <f t="shared" si="10"/>
        <v>0</v>
      </c>
      <c r="BZ29" s="1008"/>
      <c r="CA29" s="1008"/>
      <c r="CB29" s="1008"/>
      <c r="CC29" s="1008"/>
      <c r="CD29" s="1008">
        <f t="shared" si="24"/>
        <v>0</v>
      </c>
      <c r="CE29" s="1008">
        <f t="shared" si="24"/>
        <v>0</v>
      </c>
      <c r="CF29" s="1008">
        <f t="shared" si="24"/>
        <v>35000000</v>
      </c>
      <c r="CG29" s="1008">
        <f t="shared" si="24"/>
        <v>30000000</v>
      </c>
      <c r="CH29" s="1008">
        <f t="shared" si="24"/>
        <v>0</v>
      </c>
      <c r="CI29" s="1008">
        <f t="shared" si="24"/>
        <v>0</v>
      </c>
      <c r="CJ29" s="1008"/>
      <c r="CK29" s="1008"/>
      <c r="CL29" s="1008">
        <f t="shared" si="12"/>
        <v>0</v>
      </c>
      <c r="CM29" s="1011">
        <f t="shared" si="13"/>
        <v>0</v>
      </c>
      <c r="CN29" s="1008">
        <f t="shared" si="14"/>
        <v>0</v>
      </c>
      <c r="CO29" s="1008"/>
      <c r="CP29" s="1008"/>
      <c r="CQ29" s="1008"/>
      <c r="CR29" s="1008"/>
      <c r="CS29" s="1008"/>
      <c r="CT29" s="1008"/>
      <c r="CU29" s="1008"/>
      <c r="CV29" s="1008"/>
      <c r="CW29" s="1008"/>
      <c r="CX29" s="1008"/>
      <c r="CY29" s="1008"/>
      <c r="CZ29" s="1008"/>
      <c r="DA29" s="1008"/>
      <c r="DB29" s="1008"/>
      <c r="DC29" s="1008"/>
      <c r="DD29" s="1008"/>
      <c r="DE29" s="1008"/>
      <c r="DF29" s="1008"/>
      <c r="DG29" s="1008"/>
      <c r="DH29" s="1008"/>
      <c r="DI29" s="1011">
        <f t="shared" si="15"/>
        <v>1</v>
      </c>
      <c r="DJ29" s="1008">
        <f t="shared" si="16"/>
        <v>65000000</v>
      </c>
      <c r="DK29" s="1008">
        <f t="shared" si="17"/>
        <v>0</v>
      </c>
      <c r="DL29" s="1008">
        <f t="shared" si="17"/>
        <v>0</v>
      </c>
      <c r="DM29" s="1008"/>
      <c r="DN29" s="1008">
        <f t="shared" si="18"/>
        <v>0</v>
      </c>
      <c r="DO29" s="1008">
        <f t="shared" si="18"/>
        <v>0</v>
      </c>
      <c r="DP29" s="1008">
        <f t="shared" si="18"/>
        <v>0</v>
      </c>
      <c r="DQ29" s="1008">
        <f t="shared" si="18"/>
        <v>0</v>
      </c>
      <c r="DR29" s="1008"/>
      <c r="DS29" s="1008">
        <f t="shared" si="19"/>
        <v>0</v>
      </c>
      <c r="DT29" s="1008">
        <f t="shared" si="19"/>
        <v>0</v>
      </c>
      <c r="DU29" s="1008"/>
      <c r="DV29" s="1008">
        <f t="shared" si="20"/>
        <v>0</v>
      </c>
      <c r="DW29" s="1008">
        <f t="shared" si="20"/>
        <v>0</v>
      </c>
      <c r="DX29" s="1008">
        <f t="shared" si="20"/>
        <v>35000000</v>
      </c>
      <c r="DY29" s="1008">
        <f t="shared" si="21"/>
        <v>30000000</v>
      </c>
      <c r="DZ29" s="1008">
        <f t="shared" si="21"/>
        <v>0</v>
      </c>
      <c r="EA29" s="1008">
        <f t="shared" si="21"/>
        <v>0</v>
      </c>
      <c r="EB29" s="1008">
        <f t="shared" si="21"/>
        <v>0</v>
      </c>
      <c r="EC29" s="1008"/>
      <c r="ED29" s="1008">
        <f t="shared" si="22"/>
        <v>0</v>
      </c>
    </row>
    <row r="30" spans="1:134" ht="36" hidden="1" customHeight="1" x14ac:dyDescent="0.25">
      <c r="A30" s="1562"/>
      <c r="B30" s="1547" t="s">
        <v>4305</v>
      </c>
      <c r="C30" s="1116" t="s">
        <v>4404</v>
      </c>
      <c r="D30" s="1019" t="s">
        <v>4700</v>
      </c>
      <c r="E30" s="1020">
        <v>510</v>
      </c>
      <c r="F30" s="1120" t="s">
        <v>4660</v>
      </c>
      <c r="G30" s="1399">
        <v>111000000</v>
      </c>
      <c r="H30" s="1061">
        <f t="shared" si="0"/>
        <v>876100</v>
      </c>
      <c r="I30" s="1061">
        <f t="shared" si="1"/>
        <v>1123900</v>
      </c>
      <c r="J30" s="1399" t="s">
        <v>4776</v>
      </c>
      <c r="K30" s="1283" t="s">
        <v>4777</v>
      </c>
      <c r="L30" s="1283" t="s">
        <v>4778</v>
      </c>
      <c r="M30" s="1115">
        <v>0</v>
      </c>
      <c r="N30" s="1115">
        <v>0</v>
      </c>
      <c r="O30" s="1115">
        <v>0</v>
      </c>
      <c r="P30" s="1115">
        <v>44</v>
      </c>
      <c r="Q30" s="1115">
        <v>10</v>
      </c>
      <c r="R30" s="1115">
        <v>40</v>
      </c>
      <c r="S30" s="1124"/>
      <c r="T30" s="1124"/>
      <c r="U30" s="1124"/>
      <c r="V30" s="1124"/>
      <c r="W30" s="1124"/>
      <c r="X30" s="1124"/>
      <c r="Y30" s="1008">
        <f t="shared" si="2"/>
        <v>2000000</v>
      </c>
      <c r="Z30" s="1008"/>
      <c r="AA30" s="1008"/>
      <c r="AB30" s="1008"/>
      <c r="AC30" s="1008"/>
      <c r="AD30" s="1008"/>
      <c r="AE30" s="1008"/>
      <c r="AF30" s="1008"/>
      <c r="AG30" s="1008"/>
      <c r="AH30" s="1008"/>
      <c r="AI30" s="1008"/>
      <c r="AJ30" s="1008"/>
      <c r="AK30" s="1008"/>
      <c r="AL30" s="1008"/>
      <c r="AM30" s="1008">
        <v>2000000</v>
      </c>
      <c r="AN30" s="1008"/>
      <c r="AO30" s="1008"/>
      <c r="AP30" s="1008"/>
      <c r="AQ30" s="1008"/>
      <c r="AR30" s="1008"/>
      <c r="AS30" s="1008"/>
      <c r="AU30" s="1011">
        <f t="shared" si="3"/>
        <v>0.97804999999999997</v>
      </c>
      <c r="AV30" s="1008">
        <f t="shared" si="4"/>
        <v>1956100</v>
      </c>
      <c r="AW30" s="1008"/>
      <c r="AX30" s="1008"/>
      <c r="AY30" s="1008"/>
      <c r="AZ30" s="1008"/>
      <c r="BA30" s="1008"/>
      <c r="BB30" s="1008"/>
      <c r="BC30" s="1008"/>
      <c r="BD30" s="1008"/>
      <c r="BE30" s="1008"/>
      <c r="BF30" s="1008"/>
      <c r="BG30" s="1008"/>
      <c r="BH30" s="1008"/>
      <c r="BI30" s="1008"/>
      <c r="BJ30" s="1008">
        <f>+'[18]OCTUBRE 2015'!$W$3096</f>
        <v>1956100</v>
      </c>
      <c r="BK30" s="1008"/>
      <c r="BL30" s="1008"/>
      <c r="BM30" s="1008"/>
      <c r="BN30" s="1008"/>
      <c r="BO30" s="1008"/>
      <c r="BP30" s="1008"/>
      <c r="BQ30" s="1011">
        <f t="shared" si="25"/>
        <v>2.1950000000000025E-2</v>
      </c>
      <c r="BR30" s="1008">
        <f t="shared" si="6"/>
        <v>43900</v>
      </c>
      <c r="BS30" s="1008">
        <f t="shared" si="7"/>
        <v>0</v>
      </c>
      <c r="BT30" s="1008">
        <f t="shared" si="23"/>
        <v>0</v>
      </c>
      <c r="BU30" s="1008"/>
      <c r="BV30" s="1008">
        <f t="shared" si="9"/>
        <v>0</v>
      </c>
      <c r="BW30" s="1008"/>
      <c r="BX30" s="1008">
        <f t="shared" si="10"/>
        <v>0</v>
      </c>
      <c r="BY30" s="1008">
        <f t="shared" si="10"/>
        <v>0</v>
      </c>
      <c r="BZ30" s="1008"/>
      <c r="CA30" s="1008"/>
      <c r="CB30" s="1008"/>
      <c r="CC30" s="1008"/>
      <c r="CD30" s="1008">
        <f t="shared" si="24"/>
        <v>0</v>
      </c>
      <c r="CE30" s="1008">
        <f t="shared" si="24"/>
        <v>0</v>
      </c>
      <c r="CF30" s="1008">
        <f t="shared" si="24"/>
        <v>43900</v>
      </c>
      <c r="CG30" s="1008">
        <f t="shared" si="24"/>
        <v>0</v>
      </c>
      <c r="CH30" s="1008">
        <f t="shared" si="24"/>
        <v>0</v>
      </c>
      <c r="CI30" s="1008">
        <f t="shared" si="24"/>
        <v>0</v>
      </c>
      <c r="CJ30" s="1008"/>
      <c r="CK30" s="1008"/>
      <c r="CL30" s="1008">
        <f t="shared" si="12"/>
        <v>0</v>
      </c>
      <c r="CM30" s="1011">
        <f t="shared" si="13"/>
        <v>0.43804999999999999</v>
      </c>
      <c r="CN30" s="1008">
        <f t="shared" si="14"/>
        <v>876100</v>
      </c>
      <c r="CO30" s="1008"/>
      <c r="CP30" s="1008"/>
      <c r="CQ30" s="1008"/>
      <c r="CR30" s="1008"/>
      <c r="CS30" s="1008"/>
      <c r="CT30" s="1008"/>
      <c r="CU30" s="1008"/>
      <c r="CV30" s="1008"/>
      <c r="CW30" s="1008"/>
      <c r="CX30" s="1008"/>
      <c r="CY30" s="1008"/>
      <c r="CZ30" s="1008"/>
      <c r="DA30" s="1008"/>
      <c r="DB30" s="1008">
        <f>+'[10]MARZO 2015'!$H$1089</f>
        <v>876100</v>
      </c>
      <c r="DC30" s="1008"/>
      <c r="DD30" s="1008"/>
      <c r="DE30" s="1008"/>
      <c r="DF30" s="1008"/>
      <c r="DG30" s="1008"/>
      <c r="DH30" s="1008"/>
      <c r="DI30" s="1011">
        <f t="shared" si="15"/>
        <v>0.56194999999999995</v>
      </c>
      <c r="DJ30" s="1008">
        <f t="shared" si="16"/>
        <v>1123900</v>
      </c>
      <c r="DK30" s="1008">
        <f t="shared" si="17"/>
        <v>0</v>
      </c>
      <c r="DL30" s="1008">
        <f t="shared" si="17"/>
        <v>0</v>
      </c>
      <c r="DM30" s="1008"/>
      <c r="DN30" s="1008">
        <f t="shared" si="18"/>
        <v>0</v>
      </c>
      <c r="DO30" s="1008">
        <f t="shared" si="18"/>
        <v>0</v>
      </c>
      <c r="DP30" s="1008">
        <f t="shared" si="18"/>
        <v>0</v>
      </c>
      <c r="DQ30" s="1008">
        <f t="shared" si="18"/>
        <v>0</v>
      </c>
      <c r="DR30" s="1008"/>
      <c r="DS30" s="1008">
        <f t="shared" si="19"/>
        <v>0</v>
      </c>
      <c r="DT30" s="1008">
        <f t="shared" si="19"/>
        <v>0</v>
      </c>
      <c r="DU30" s="1008"/>
      <c r="DV30" s="1008">
        <f t="shared" si="20"/>
        <v>0</v>
      </c>
      <c r="DW30" s="1008">
        <f t="shared" si="20"/>
        <v>0</v>
      </c>
      <c r="DX30" s="1008">
        <f t="shared" si="20"/>
        <v>1123900</v>
      </c>
      <c r="DY30" s="1008">
        <f t="shared" si="21"/>
        <v>0</v>
      </c>
      <c r="DZ30" s="1008">
        <f t="shared" si="21"/>
        <v>0</v>
      </c>
      <c r="EA30" s="1008">
        <f t="shared" si="21"/>
        <v>0</v>
      </c>
      <c r="EB30" s="1008">
        <f t="shared" si="21"/>
        <v>0</v>
      </c>
      <c r="EC30" s="1008"/>
      <c r="ED30" s="1008">
        <f t="shared" si="22"/>
        <v>0</v>
      </c>
    </row>
    <row r="31" spans="1:134" ht="26.25" hidden="1" customHeight="1" x14ac:dyDescent="0.25">
      <c r="A31" s="1562"/>
      <c r="B31" s="1548"/>
      <c r="C31" s="1116" t="s">
        <v>4581</v>
      </c>
      <c r="D31" s="1019" t="s">
        <v>4600</v>
      </c>
      <c r="E31" s="1020">
        <v>510</v>
      </c>
      <c r="F31" s="1120" t="s">
        <v>4660</v>
      </c>
      <c r="G31" s="1400"/>
      <c r="H31" s="1061">
        <f t="shared" si="0"/>
        <v>28219872</v>
      </c>
      <c r="I31" s="1061">
        <f t="shared" si="1"/>
        <v>32780128</v>
      </c>
      <c r="J31" s="1400"/>
      <c r="K31" s="1573"/>
      <c r="L31" s="1573"/>
      <c r="M31" s="1115">
        <v>0</v>
      </c>
      <c r="N31" s="1115">
        <v>0</v>
      </c>
      <c r="O31" s="1115">
        <v>0</v>
      </c>
      <c r="P31" s="1115">
        <v>27</v>
      </c>
      <c r="Q31" s="1115">
        <v>40</v>
      </c>
      <c r="R31" s="1115">
        <v>11</v>
      </c>
      <c r="S31" s="1125"/>
      <c r="T31" s="1125"/>
      <c r="U31" s="1125"/>
      <c r="V31" s="1125"/>
      <c r="W31" s="1125"/>
      <c r="X31" s="1125"/>
      <c r="Y31" s="1008">
        <f t="shared" si="2"/>
        <v>61000000</v>
      </c>
      <c r="Z31" s="1008"/>
      <c r="AA31" s="1008"/>
      <c r="AB31" s="1008"/>
      <c r="AC31" s="1008"/>
      <c r="AD31" s="1008"/>
      <c r="AE31" s="1008"/>
      <c r="AF31" s="1008"/>
      <c r="AG31" s="1008"/>
      <c r="AH31" s="1008"/>
      <c r="AI31" s="1008"/>
      <c r="AJ31" s="1008"/>
      <c r="AK31" s="1008"/>
      <c r="AL31" s="1008"/>
      <c r="AM31" s="1008">
        <v>40000000</v>
      </c>
      <c r="AN31" s="1008"/>
      <c r="AO31" s="1008"/>
      <c r="AP31" s="1008"/>
      <c r="AQ31" s="1008"/>
      <c r="AR31" s="1008"/>
      <c r="AS31" s="1008">
        <v>21000000</v>
      </c>
      <c r="AU31" s="1011">
        <f t="shared" si="3"/>
        <v>0.62474659016393441</v>
      </c>
      <c r="AV31" s="1008">
        <f t="shared" si="4"/>
        <v>38109542</v>
      </c>
      <c r="AW31" s="1008"/>
      <c r="AX31" s="1008"/>
      <c r="AY31" s="1008"/>
      <c r="AZ31" s="1008"/>
      <c r="BA31" s="1008"/>
      <c r="BB31" s="1008"/>
      <c r="BC31" s="1008"/>
      <c r="BD31" s="1008"/>
      <c r="BE31" s="1008"/>
      <c r="BF31" s="1008"/>
      <c r="BG31" s="1008"/>
      <c r="BH31" s="1008"/>
      <c r="BI31" s="1008"/>
      <c r="BJ31" s="1008">
        <f>+'[18]OCTUBRE 2015'!$W$3102</f>
        <v>38109542</v>
      </c>
      <c r="BK31" s="1008"/>
      <c r="BL31" s="1008"/>
      <c r="BM31" s="1008"/>
      <c r="BN31" s="1008"/>
      <c r="BO31" s="1008"/>
      <c r="BP31" s="1008"/>
      <c r="BQ31" s="1011">
        <f t="shared" si="25"/>
        <v>0.37525340983606559</v>
      </c>
      <c r="BR31" s="1008">
        <f t="shared" si="6"/>
        <v>22890458</v>
      </c>
      <c r="BS31" s="1008">
        <f t="shared" si="7"/>
        <v>0</v>
      </c>
      <c r="BT31" s="1008">
        <f t="shared" si="23"/>
        <v>0</v>
      </c>
      <c r="BU31" s="1008"/>
      <c r="BV31" s="1008">
        <f t="shared" si="9"/>
        <v>0</v>
      </c>
      <c r="BW31" s="1008"/>
      <c r="BX31" s="1008">
        <f t="shared" si="10"/>
        <v>0</v>
      </c>
      <c r="BY31" s="1008">
        <f t="shared" si="10"/>
        <v>0</v>
      </c>
      <c r="BZ31" s="1008"/>
      <c r="CA31" s="1008"/>
      <c r="CB31" s="1008"/>
      <c r="CC31" s="1008"/>
      <c r="CD31" s="1008">
        <f t="shared" si="24"/>
        <v>0</v>
      </c>
      <c r="CE31" s="1008">
        <f t="shared" si="24"/>
        <v>0</v>
      </c>
      <c r="CF31" s="1008">
        <f t="shared" si="24"/>
        <v>1890458</v>
      </c>
      <c r="CG31" s="1008">
        <f t="shared" si="24"/>
        <v>0</v>
      </c>
      <c r="CH31" s="1008">
        <f t="shared" si="24"/>
        <v>0</v>
      </c>
      <c r="CI31" s="1008">
        <f t="shared" si="24"/>
        <v>0</v>
      </c>
      <c r="CJ31" s="1008"/>
      <c r="CK31" s="1008"/>
      <c r="CL31" s="1008">
        <f t="shared" si="12"/>
        <v>21000000</v>
      </c>
      <c r="CM31" s="1011">
        <f t="shared" si="13"/>
        <v>0.46262085245901641</v>
      </c>
      <c r="CN31" s="1008">
        <f t="shared" si="14"/>
        <v>28219872</v>
      </c>
      <c r="CO31" s="1008"/>
      <c r="CP31" s="1008"/>
      <c r="CQ31" s="1008"/>
      <c r="CR31" s="1008"/>
      <c r="CS31" s="1008"/>
      <c r="CT31" s="1008"/>
      <c r="CU31" s="1008"/>
      <c r="CV31" s="1008"/>
      <c r="CW31" s="1008"/>
      <c r="CX31" s="1008"/>
      <c r="CY31" s="1008"/>
      <c r="CZ31" s="1008"/>
      <c r="DA31" s="1008"/>
      <c r="DB31" s="1008">
        <f>+'[18]OCTUBRE 2015'!$H$3100</f>
        <v>28219872</v>
      </c>
      <c r="DC31" s="1008"/>
      <c r="DD31" s="1008"/>
      <c r="DE31" s="1008"/>
      <c r="DF31" s="1008"/>
      <c r="DG31" s="1008"/>
      <c r="DH31" s="1008"/>
      <c r="DI31" s="1011">
        <f t="shared" si="15"/>
        <v>0.53737914754098359</v>
      </c>
      <c r="DJ31" s="1008">
        <f t="shared" si="16"/>
        <v>32780128</v>
      </c>
      <c r="DK31" s="1008">
        <f t="shared" si="17"/>
        <v>0</v>
      </c>
      <c r="DL31" s="1008">
        <f t="shared" si="17"/>
        <v>0</v>
      </c>
      <c r="DM31" s="1008"/>
      <c r="DN31" s="1008">
        <f t="shared" si="18"/>
        <v>0</v>
      </c>
      <c r="DO31" s="1008">
        <f t="shared" si="18"/>
        <v>0</v>
      </c>
      <c r="DP31" s="1008">
        <f t="shared" si="18"/>
        <v>0</v>
      </c>
      <c r="DQ31" s="1008">
        <f t="shared" si="18"/>
        <v>0</v>
      </c>
      <c r="DR31" s="1008"/>
      <c r="DS31" s="1008">
        <f t="shared" si="19"/>
        <v>0</v>
      </c>
      <c r="DT31" s="1008">
        <f t="shared" si="19"/>
        <v>0</v>
      </c>
      <c r="DU31" s="1008"/>
      <c r="DV31" s="1008">
        <f t="shared" si="20"/>
        <v>0</v>
      </c>
      <c r="DW31" s="1008">
        <f t="shared" si="20"/>
        <v>0</v>
      </c>
      <c r="DX31" s="1008">
        <f t="shared" si="20"/>
        <v>11780128</v>
      </c>
      <c r="DY31" s="1008">
        <f t="shared" si="21"/>
        <v>0</v>
      </c>
      <c r="DZ31" s="1008">
        <f t="shared" si="21"/>
        <v>0</v>
      </c>
      <c r="EA31" s="1008">
        <f t="shared" si="21"/>
        <v>0</v>
      </c>
      <c r="EB31" s="1008">
        <f t="shared" si="21"/>
        <v>0</v>
      </c>
      <c r="EC31" s="1008"/>
      <c r="ED31" s="1008">
        <f t="shared" si="22"/>
        <v>21000000</v>
      </c>
    </row>
    <row r="32" spans="1:134" ht="39" hidden="1" customHeight="1" x14ac:dyDescent="0.25">
      <c r="A32" s="1562"/>
      <c r="B32" s="1548"/>
      <c r="C32" s="1116" t="s">
        <v>4582</v>
      </c>
      <c r="D32" s="1019" t="s">
        <v>4579</v>
      </c>
      <c r="E32" s="1020">
        <v>510</v>
      </c>
      <c r="F32" s="1120" t="s">
        <v>4660</v>
      </c>
      <c r="G32" s="1400"/>
      <c r="H32" s="1061">
        <f t="shared" si="0"/>
        <v>10640000</v>
      </c>
      <c r="I32" s="1061">
        <f t="shared" si="1"/>
        <v>39360000</v>
      </c>
      <c r="J32" s="1400"/>
      <c r="K32" s="1573"/>
      <c r="L32" s="1573"/>
      <c r="M32" s="1115">
        <v>0</v>
      </c>
      <c r="N32" s="1115">
        <v>0</v>
      </c>
      <c r="O32" s="1115">
        <v>0</v>
      </c>
      <c r="P32" s="1115">
        <v>0</v>
      </c>
      <c r="Q32" s="1115">
        <v>40</v>
      </c>
      <c r="R32" s="1115">
        <v>0</v>
      </c>
      <c r="S32" s="1125"/>
      <c r="T32" s="1125"/>
      <c r="U32" s="1125"/>
      <c r="V32" s="1125"/>
      <c r="W32" s="1125"/>
      <c r="X32" s="1125"/>
      <c r="Y32" s="1008">
        <f t="shared" si="2"/>
        <v>50000000</v>
      </c>
      <c r="Z32" s="1008"/>
      <c r="AA32" s="1008"/>
      <c r="AB32" s="1008"/>
      <c r="AC32" s="1008"/>
      <c r="AD32" s="1008"/>
      <c r="AE32" s="1008"/>
      <c r="AF32" s="1008"/>
      <c r="AG32" s="1008"/>
      <c r="AH32" s="1008"/>
      <c r="AI32" s="1008"/>
      <c r="AJ32" s="1008"/>
      <c r="AK32" s="1008"/>
      <c r="AL32" s="1008"/>
      <c r="AM32" s="1008">
        <v>40000000</v>
      </c>
      <c r="AN32" s="1008">
        <v>10000000</v>
      </c>
      <c r="AO32" s="1008"/>
      <c r="AP32" s="1008"/>
      <c r="AQ32" s="1008"/>
      <c r="AR32" s="1008"/>
      <c r="AS32" s="1008"/>
      <c r="AU32" s="1011">
        <f t="shared" si="3"/>
        <v>0.95281987999999995</v>
      </c>
      <c r="AV32" s="1008">
        <f t="shared" si="4"/>
        <v>47640994</v>
      </c>
      <c r="AW32" s="1008"/>
      <c r="AX32" s="1008"/>
      <c r="AY32" s="1008"/>
      <c r="AZ32" s="1008"/>
      <c r="BA32" s="1008"/>
      <c r="BB32" s="1008"/>
      <c r="BC32" s="1008"/>
      <c r="BD32" s="1008"/>
      <c r="BE32" s="1008"/>
      <c r="BF32" s="1008"/>
      <c r="BG32" s="1008"/>
      <c r="BH32" s="1008"/>
      <c r="BI32" s="1008"/>
      <c r="BJ32" s="1008">
        <f>+'[14]JUNIO 2015'!$W$1673</f>
        <v>40000000</v>
      </c>
      <c r="BK32" s="1008">
        <f>+'[14]JUNIO 2015'!$X$1673</f>
        <v>7640994</v>
      </c>
      <c r="BL32" s="1008"/>
      <c r="BM32" s="1008"/>
      <c r="BN32" s="1008"/>
      <c r="BO32" s="1008"/>
      <c r="BP32" s="1008"/>
      <c r="BQ32" s="1011">
        <f t="shared" si="25"/>
        <v>4.7180120000000048E-2</v>
      </c>
      <c r="BR32" s="1008">
        <f t="shared" si="6"/>
        <v>2359006</v>
      </c>
      <c r="BS32" s="1008">
        <f t="shared" si="7"/>
        <v>0</v>
      </c>
      <c r="BT32" s="1008">
        <f t="shared" si="23"/>
        <v>0</v>
      </c>
      <c r="BU32" s="1008"/>
      <c r="BV32" s="1008">
        <f t="shared" si="9"/>
        <v>0</v>
      </c>
      <c r="BW32" s="1008"/>
      <c r="BX32" s="1008">
        <f t="shared" si="10"/>
        <v>0</v>
      </c>
      <c r="BY32" s="1008">
        <f t="shared" si="10"/>
        <v>0</v>
      </c>
      <c r="BZ32" s="1008"/>
      <c r="CA32" s="1008"/>
      <c r="CB32" s="1008"/>
      <c r="CC32" s="1008"/>
      <c r="CD32" s="1008">
        <f t="shared" si="24"/>
        <v>0</v>
      </c>
      <c r="CE32" s="1008">
        <f t="shared" si="24"/>
        <v>0</v>
      </c>
      <c r="CF32" s="1008">
        <f t="shared" si="24"/>
        <v>0</v>
      </c>
      <c r="CG32" s="1008">
        <f t="shared" si="24"/>
        <v>2359006</v>
      </c>
      <c r="CH32" s="1008">
        <f t="shared" si="24"/>
        <v>0</v>
      </c>
      <c r="CI32" s="1008">
        <f t="shared" si="24"/>
        <v>0</v>
      </c>
      <c r="CJ32" s="1008"/>
      <c r="CK32" s="1008"/>
      <c r="CL32" s="1008">
        <f t="shared" si="12"/>
        <v>0</v>
      </c>
      <c r="CM32" s="1011">
        <f t="shared" si="13"/>
        <v>0.21279999999999999</v>
      </c>
      <c r="CN32" s="1008">
        <f t="shared" si="14"/>
        <v>10640000</v>
      </c>
      <c r="CO32" s="1008"/>
      <c r="CP32" s="1008"/>
      <c r="CQ32" s="1008"/>
      <c r="CR32" s="1008"/>
      <c r="CS32" s="1008"/>
      <c r="CT32" s="1008"/>
      <c r="CU32" s="1008"/>
      <c r="CV32" s="1008"/>
      <c r="CW32" s="1008"/>
      <c r="CX32" s="1008"/>
      <c r="CY32" s="1008"/>
      <c r="CZ32" s="1008"/>
      <c r="DA32" s="1008"/>
      <c r="DB32" s="1008">
        <f>+'[15]JULIO 2015'!$W$1957</f>
        <v>3000000</v>
      </c>
      <c r="DC32" s="1008">
        <f>+'[15]JULIO 2015'!$H$1958-DB32</f>
        <v>7640000</v>
      </c>
      <c r="DD32" s="1008"/>
      <c r="DE32" s="1008"/>
      <c r="DF32" s="1008"/>
      <c r="DG32" s="1008"/>
      <c r="DH32" s="1008"/>
      <c r="DI32" s="1011">
        <f t="shared" si="15"/>
        <v>0.78720000000000001</v>
      </c>
      <c r="DJ32" s="1008">
        <f t="shared" si="16"/>
        <v>39360000</v>
      </c>
      <c r="DK32" s="1008">
        <f t="shared" si="17"/>
        <v>0</v>
      </c>
      <c r="DL32" s="1008">
        <f t="shared" si="17"/>
        <v>0</v>
      </c>
      <c r="DM32" s="1008"/>
      <c r="DN32" s="1008">
        <f t="shared" si="18"/>
        <v>0</v>
      </c>
      <c r="DO32" s="1008">
        <f t="shared" si="18"/>
        <v>0</v>
      </c>
      <c r="DP32" s="1008">
        <f t="shared" si="18"/>
        <v>0</v>
      </c>
      <c r="DQ32" s="1008">
        <f t="shared" si="18"/>
        <v>0</v>
      </c>
      <c r="DR32" s="1008"/>
      <c r="DS32" s="1008">
        <f t="shared" si="19"/>
        <v>0</v>
      </c>
      <c r="DT32" s="1008">
        <f t="shared" si="19"/>
        <v>0</v>
      </c>
      <c r="DU32" s="1008"/>
      <c r="DV32" s="1008">
        <f t="shared" si="20"/>
        <v>0</v>
      </c>
      <c r="DW32" s="1008">
        <f t="shared" si="20"/>
        <v>0</v>
      </c>
      <c r="DX32" s="1008">
        <f t="shared" si="20"/>
        <v>37000000</v>
      </c>
      <c r="DY32" s="1008">
        <f t="shared" si="21"/>
        <v>2360000</v>
      </c>
      <c r="DZ32" s="1008">
        <f t="shared" si="21"/>
        <v>0</v>
      </c>
      <c r="EA32" s="1008">
        <f t="shared" si="21"/>
        <v>0</v>
      </c>
      <c r="EB32" s="1008">
        <f t="shared" si="21"/>
        <v>0</v>
      </c>
      <c r="EC32" s="1008"/>
      <c r="ED32" s="1008">
        <f t="shared" si="22"/>
        <v>0</v>
      </c>
    </row>
    <row r="33" spans="1:134" ht="31.5" hidden="1" customHeight="1" x14ac:dyDescent="0.25">
      <c r="A33" s="1562"/>
      <c r="B33" s="1549"/>
      <c r="C33" s="1116" t="s">
        <v>4583</v>
      </c>
      <c r="D33" s="1019" t="s">
        <v>4580</v>
      </c>
      <c r="E33" s="1020">
        <v>510</v>
      </c>
      <c r="F33" s="1120" t="s">
        <v>4729</v>
      </c>
      <c r="G33" s="1401"/>
      <c r="H33" s="1061">
        <f t="shared" si="0"/>
        <v>5310036</v>
      </c>
      <c r="I33" s="1061">
        <f t="shared" si="1"/>
        <v>7689964</v>
      </c>
      <c r="J33" s="1401"/>
      <c r="K33" s="1284"/>
      <c r="L33" s="1284"/>
      <c r="M33" s="1115">
        <v>0</v>
      </c>
      <c r="N33" s="1115">
        <v>0</v>
      </c>
      <c r="O33" s="1115">
        <v>0</v>
      </c>
      <c r="P33" s="1115">
        <v>7</v>
      </c>
      <c r="Q33" s="1115">
        <v>50</v>
      </c>
      <c r="R33" s="1115">
        <v>4</v>
      </c>
      <c r="S33" s="1126"/>
      <c r="T33" s="1126"/>
      <c r="U33" s="1126"/>
      <c r="V33" s="1126"/>
      <c r="W33" s="1126"/>
      <c r="X33" s="1126"/>
      <c r="Y33" s="1008">
        <f t="shared" si="2"/>
        <v>13000000</v>
      </c>
      <c r="Z33" s="1008"/>
      <c r="AA33" s="1008"/>
      <c r="AB33" s="1008"/>
      <c r="AC33" s="1008"/>
      <c r="AD33" s="1008"/>
      <c r="AE33" s="1008"/>
      <c r="AF33" s="1008"/>
      <c r="AG33" s="1008"/>
      <c r="AH33" s="1008"/>
      <c r="AI33" s="1008"/>
      <c r="AJ33" s="1008"/>
      <c r="AK33" s="1008"/>
      <c r="AL33" s="1008"/>
      <c r="AM33" s="1008">
        <v>8000000</v>
      </c>
      <c r="AN33" s="1008"/>
      <c r="AO33" s="1008"/>
      <c r="AP33" s="1008"/>
      <c r="AQ33" s="1008"/>
      <c r="AR33" s="1008"/>
      <c r="AS33" s="1008">
        <v>5000000</v>
      </c>
      <c r="AU33" s="1011">
        <f t="shared" si="3"/>
        <v>0.94291599999999998</v>
      </c>
      <c r="AV33" s="1008">
        <f t="shared" si="4"/>
        <v>12257908</v>
      </c>
      <c r="AW33" s="1008"/>
      <c r="AX33" s="1008"/>
      <c r="AY33" s="1008"/>
      <c r="AZ33" s="1008"/>
      <c r="BA33" s="1008"/>
      <c r="BB33" s="1008"/>
      <c r="BC33" s="1008"/>
      <c r="BD33" s="1008"/>
      <c r="BE33" s="1008"/>
      <c r="BF33" s="1008"/>
      <c r="BG33" s="1008"/>
      <c r="BH33" s="1008"/>
      <c r="BI33" s="1008"/>
      <c r="BJ33" s="1008">
        <f>+'[18]OCTUBRE 2015'!$W$3139</f>
        <v>7257908</v>
      </c>
      <c r="BK33" s="1008"/>
      <c r="BL33" s="1008"/>
      <c r="BM33" s="1008"/>
      <c r="BN33" s="1008"/>
      <c r="BO33" s="1008"/>
      <c r="BP33" s="1008">
        <f>+'[15]JULIO 2015'!$AD$1962</f>
        <v>5000000</v>
      </c>
      <c r="BQ33" s="1011">
        <f t="shared" si="25"/>
        <v>5.7084000000000024E-2</v>
      </c>
      <c r="BR33" s="1008">
        <f t="shared" si="6"/>
        <v>742092</v>
      </c>
      <c r="BS33" s="1008">
        <f t="shared" si="7"/>
        <v>0</v>
      </c>
      <c r="BT33" s="1008">
        <f t="shared" si="23"/>
        <v>0</v>
      </c>
      <c r="BU33" s="1008"/>
      <c r="BV33" s="1008">
        <f t="shared" si="9"/>
        <v>0</v>
      </c>
      <c r="BW33" s="1008"/>
      <c r="BX33" s="1008">
        <f t="shared" si="10"/>
        <v>0</v>
      </c>
      <c r="BY33" s="1008">
        <f t="shared" si="10"/>
        <v>0</v>
      </c>
      <c r="BZ33" s="1008"/>
      <c r="CA33" s="1008"/>
      <c r="CB33" s="1008"/>
      <c r="CC33" s="1008"/>
      <c r="CD33" s="1008">
        <f t="shared" si="24"/>
        <v>0</v>
      </c>
      <c r="CE33" s="1008">
        <f t="shared" si="24"/>
        <v>0</v>
      </c>
      <c r="CF33" s="1008">
        <f t="shared" si="24"/>
        <v>742092</v>
      </c>
      <c r="CG33" s="1008">
        <f t="shared" si="24"/>
        <v>0</v>
      </c>
      <c r="CH33" s="1008">
        <f t="shared" si="24"/>
        <v>0</v>
      </c>
      <c r="CI33" s="1008">
        <f t="shared" si="24"/>
        <v>0</v>
      </c>
      <c r="CJ33" s="1008"/>
      <c r="CK33" s="1008"/>
      <c r="CL33" s="1008">
        <f t="shared" si="12"/>
        <v>0</v>
      </c>
      <c r="CM33" s="1011">
        <f t="shared" si="13"/>
        <v>0.40846430769230768</v>
      </c>
      <c r="CN33" s="1008">
        <f t="shared" si="14"/>
        <v>5310036</v>
      </c>
      <c r="CO33" s="1008"/>
      <c r="CP33" s="1008"/>
      <c r="CQ33" s="1008"/>
      <c r="CR33" s="1008"/>
      <c r="CS33" s="1008"/>
      <c r="CT33" s="1008"/>
      <c r="CU33" s="1008"/>
      <c r="CV33" s="1008"/>
      <c r="CW33" s="1008"/>
      <c r="CX33" s="1008"/>
      <c r="CY33" s="1008"/>
      <c r="CZ33" s="1008"/>
      <c r="DA33" s="1008"/>
      <c r="DB33" s="1008">
        <f>+'[18]OCTUBRE 2015'!$H$3137</f>
        <v>5310036</v>
      </c>
      <c r="DC33" s="1008"/>
      <c r="DD33" s="1008"/>
      <c r="DE33" s="1008"/>
      <c r="DF33" s="1008"/>
      <c r="DG33" s="1008"/>
      <c r="DH33" s="1008"/>
      <c r="DI33" s="1011">
        <f t="shared" si="15"/>
        <v>0.59153569230769232</v>
      </c>
      <c r="DJ33" s="1008">
        <f t="shared" si="16"/>
        <v>7689964</v>
      </c>
      <c r="DK33" s="1008">
        <f t="shared" si="17"/>
        <v>0</v>
      </c>
      <c r="DL33" s="1008">
        <f t="shared" si="17"/>
        <v>0</v>
      </c>
      <c r="DM33" s="1008"/>
      <c r="DN33" s="1008">
        <f>AC33-CR33</f>
        <v>0</v>
      </c>
      <c r="DO33" s="1008"/>
      <c r="DP33" s="1008">
        <f>AE33-CT33</f>
        <v>0</v>
      </c>
      <c r="DQ33" s="1008">
        <f>AF33-CU33</f>
        <v>0</v>
      </c>
      <c r="DR33" s="1008"/>
      <c r="DS33" s="1008">
        <f t="shared" si="19"/>
        <v>0</v>
      </c>
      <c r="DT33" s="1008">
        <f t="shared" si="19"/>
        <v>0</v>
      </c>
      <c r="DU33" s="1008"/>
      <c r="DV33" s="1008">
        <f t="shared" si="20"/>
        <v>0</v>
      </c>
      <c r="DW33" s="1008">
        <f t="shared" si="20"/>
        <v>0</v>
      </c>
      <c r="DX33" s="1008">
        <f t="shared" si="20"/>
        <v>2689964</v>
      </c>
      <c r="DY33" s="1008">
        <f t="shared" si="21"/>
        <v>0</v>
      </c>
      <c r="DZ33" s="1008">
        <f t="shared" si="21"/>
        <v>0</v>
      </c>
      <c r="EA33" s="1008">
        <f t="shared" si="21"/>
        <v>0</v>
      </c>
      <c r="EB33" s="1008">
        <f t="shared" si="21"/>
        <v>0</v>
      </c>
      <c r="EC33" s="1008"/>
      <c r="ED33" s="1008">
        <f t="shared" si="22"/>
        <v>5000000</v>
      </c>
    </row>
    <row r="34" spans="1:134" s="948" customFormat="1" ht="22.5" customHeight="1" thickBot="1" x14ac:dyDescent="0.3">
      <c r="A34" s="1058"/>
      <c r="B34" s="1625" t="s">
        <v>4988</v>
      </c>
      <c r="C34" s="1626"/>
      <c r="D34" s="1626"/>
      <c r="E34" s="1627"/>
      <c r="F34" s="1051"/>
      <c r="G34" s="1035">
        <f>SUM(G4:G33)</f>
        <v>1741000000</v>
      </c>
      <c r="H34" s="1035">
        <f>SUM(H4:H33)</f>
        <v>1122567751</v>
      </c>
      <c r="I34" s="1035">
        <f>SUM(I4:I33)</f>
        <v>754541012</v>
      </c>
      <c r="J34" s="1055"/>
      <c r="K34" s="1079"/>
      <c r="L34" s="1079"/>
      <c r="M34" s="1074"/>
      <c r="N34" s="1074"/>
      <c r="O34" s="1074"/>
      <c r="P34" s="1079"/>
      <c r="Q34" s="1079"/>
      <c r="R34" s="1079"/>
      <c r="S34" s="1055"/>
      <c r="T34" s="1055"/>
      <c r="U34" s="1055"/>
      <c r="V34" s="1055"/>
      <c r="W34" s="1055"/>
      <c r="X34" s="1055"/>
      <c r="Y34" s="1035">
        <f t="shared" ref="Y34:AS34" si="26">SUM(Y4:Y33)</f>
        <v>1877108763</v>
      </c>
      <c r="Z34" s="1035">
        <f t="shared" si="26"/>
        <v>0</v>
      </c>
      <c r="AA34" s="1035">
        <f t="shared" si="26"/>
        <v>0</v>
      </c>
      <c r="AB34" s="1035">
        <f t="shared" si="26"/>
        <v>0</v>
      </c>
      <c r="AC34" s="1035">
        <f t="shared" si="26"/>
        <v>0</v>
      </c>
      <c r="AD34" s="1035">
        <f t="shared" si="26"/>
        <v>0</v>
      </c>
      <c r="AE34" s="1035">
        <f t="shared" si="26"/>
        <v>680000000</v>
      </c>
      <c r="AF34" s="1035">
        <f t="shared" si="26"/>
        <v>321985144</v>
      </c>
      <c r="AG34" s="1035">
        <f t="shared" si="26"/>
        <v>0</v>
      </c>
      <c r="AH34" s="1035">
        <f t="shared" si="26"/>
        <v>0</v>
      </c>
      <c r="AI34" s="1035">
        <f t="shared" si="26"/>
        <v>0</v>
      </c>
      <c r="AJ34" s="1035">
        <f t="shared" si="26"/>
        <v>0</v>
      </c>
      <c r="AK34" s="1035">
        <f t="shared" si="26"/>
        <v>0</v>
      </c>
      <c r="AL34" s="1035">
        <f t="shared" si="26"/>
        <v>0</v>
      </c>
      <c r="AM34" s="1035">
        <f t="shared" si="26"/>
        <v>270000000</v>
      </c>
      <c r="AN34" s="1035">
        <f t="shared" si="26"/>
        <v>186000000</v>
      </c>
      <c r="AO34" s="1035">
        <f t="shared" si="26"/>
        <v>220000000</v>
      </c>
      <c r="AP34" s="1035">
        <f t="shared" si="26"/>
        <v>0</v>
      </c>
      <c r="AQ34" s="1035">
        <f t="shared" si="26"/>
        <v>0</v>
      </c>
      <c r="AR34" s="1035">
        <f t="shared" si="26"/>
        <v>0</v>
      </c>
      <c r="AS34" s="1035">
        <f t="shared" si="26"/>
        <v>199123619</v>
      </c>
      <c r="AT34"/>
      <c r="AU34" s="1012">
        <f t="shared" si="3"/>
        <v>0.69953428638913662</v>
      </c>
      <c r="AV34" s="1035">
        <f>SUM(AV4:AV33)</f>
        <v>1313101939</v>
      </c>
      <c r="AW34" s="1035">
        <f>SUM(AW4:AW33)</f>
        <v>0</v>
      </c>
      <c r="AX34" s="1035">
        <f>SUM(AX4:AX33)</f>
        <v>0</v>
      </c>
      <c r="AY34" s="1035"/>
      <c r="AZ34" s="1035">
        <f t="shared" ref="AZ34:BP34" si="27">SUM(AZ4:AZ33)</f>
        <v>0</v>
      </c>
      <c r="BA34" s="1035">
        <f t="shared" si="27"/>
        <v>0</v>
      </c>
      <c r="BB34" s="1035">
        <f t="shared" si="27"/>
        <v>471107218</v>
      </c>
      <c r="BC34" s="1035">
        <f t="shared" si="27"/>
        <v>264170675</v>
      </c>
      <c r="BD34" s="1035">
        <f t="shared" si="27"/>
        <v>0</v>
      </c>
      <c r="BE34" s="1035">
        <f t="shared" si="27"/>
        <v>0</v>
      </c>
      <c r="BF34" s="1035">
        <f t="shared" si="27"/>
        <v>0</v>
      </c>
      <c r="BG34" s="1035">
        <f t="shared" si="27"/>
        <v>0</v>
      </c>
      <c r="BH34" s="1035">
        <f t="shared" si="27"/>
        <v>0</v>
      </c>
      <c r="BI34" s="1035">
        <f t="shared" si="27"/>
        <v>0</v>
      </c>
      <c r="BJ34" s="1035">
        <f t="shared" si="27"/>
        <v>152146280</v>
      </c>
      <c r="BK34" s="1035">
        <f t="shared" si="27"/>
        <v>37472943</v>
      </c>
      <c r="BL34" s="1035">
        <f t="shared" si="27"/>
        <v>220000000</v>
      </c>
      <c r="BM34" s="1035">
        <f t="shared" si="27"/>
        <v>0</v>
      </c>
      <c r="BN34" s="1035">
        <f t="shared" si="27"/>
        <v>0</v>
      </c>
      <c r="BO34" s="1035">
        <f t="shared" si="27"/>
        <v>0</v>
      </c>
      <c r="BP34" s="1035">
        <f t="shared" si="27"/>
        <v>168204823</v>
      </c>
      <c r="BQ34" s="1012">
        <f t="shared" si="25"/>
        <v>0.30046571361086338</v>
      </c>
      <c r="BR34" s="1035">
        <f t="shared" ref="BR34:CL34" si="28">SUM(BR4:BR33)</f>
        <v>564006824</v>
      </c>
      <c r="BS34" s="1035">
        <f t="shared" si="28"/>
        <v>0</v>
      </c>
      <c r="BT34" s="1035">
        <f t="shared" si="28"/>
        <v>0</v>
      </c>
      <c r="BU34" s="1035">
        <f t="shared" si="28"/>
        <v>0</v>
      </c>
      <c r="BV34" s="1035">
        <f t="shared" si="28"/>
        <v>0</v>
      </c>
      <c r="BW34" s="1035">
        <f t="shared" si="28"/>
        <v>0</v>
      </c>
      <c r="BX34" s="1035">
        <f t="shared" si="28"/>
        <v>208892782</v>
      </c>
      <c r="BY34" s="1035">
        <f t="shared" si="28"/>
        <v>57814469</v>
      </c>
      <c r="BZ34" s="1035">
        <f t="shared" si="28"/>
        <v>0</v>
      </c>
      <c r="CA34" s="1035">
        <f t="shared" si="28"/>
        <v>0</v>
      </c>
      <c r="CB34" s="1035">
        <f t="shared" si="28"/>
        <v>0</v>
      </c>
      <c r="CC34" s="1035">
        <f t="shared" si="28"/>
        <v>0</v>
      </c>
      <c r="CD34" s="1035">
        <f t="shared" si="28"/>
        <v>0</v>
      </c>
      <c r="CE34" s="1035">
        <f t="shared" si="28"/>
        <v>0</v>
      </c>
      <c r="CF34" s="1035">
        <f t="shared" si="28"/>
        <v>117853720</v>
      </c>
      <c r="CG34" s="1035">
        <f t="shared" si="28"/>
        <v>148527057</v>
      </c>
      <c r="CH34" s="1035">
        <f t="shared" si="28"/>
        <v>0</v>
      </c>
      <c r="CI34" s="1035">
        <f t="shared" si="28"/>
        <v>0</v>
      </c>
      <c r="CJ34" s="1035">
        <f t="shared" si="28"/>
        <v>0</v>
      </c>
      <c r="CK34" s="1035">
        <f t="shared" si="28"/>
        <v>0</v>
      </c>
      <c r="CL34" s="1035">
        <f t="shared" si="28"/>
        <v>30918796</v>
      </c>
      <c r="CM34" s="1012">
        <f t="shared" si="13"/>
        <v>0.59803021174218451</v>
      </c>
      <c r="CN34" s="1035">
        <f>SUM(CN4:CN33)</f>
        <v>1122567751</v>
      </c>
      <c r="CO34" s="1035">
        <f>SUM(CO4:CO33)</f>
        <v>0</v>
      </c>
      <c r="CP34" s="1035">
        <f>SUM(CP4:CP33)</f>
        <v>0</v>
      </c>
      <c r="CQ34" s="1035"/>
      <c r="CR34" s="1035">
        <f t="shared" ref="CR34:DH34" si="29">SUM(CR4:CR33)</f>
        <v>0</v>
      </c>
      <c r="CS34" s="1035">
        <f t="shared" si="29"/>
        <v>0</v>
      </c>
      <c r="CT34" s="1035">
        <f t="shared" si="29"/>
        <v>460678681</v>
      </c>
      <c r="CU34" s="1035">
        <f t="shared" si="29"/>
        <v>256875776</v>
      </c>
      <c r="CV34" s="1035">
        <f t="shared" si="29"/>
        <v>0</v>
      </c>
      <c r="CW34" s="1035">
        <f t="shared" si="29"/>
        <v>0</v>
      </c>
      <c r="CX34" s="1035">
        <f t="shared" si="29"/>
        <v>0</v>
      </c>
      <c r="CY34" s="1035">
        <f t="shared" si="29"/>
        <v>0</v>
      </c>
      <c r="CZ34" s="1035">
        <f t="shared" si="29"/>
        <v>0</v>
      </c>
      <c r="DA34" s="1035">
        <f t="shared" si="29"/>
        <v>0</v>
      </c>
      <c r="DB34" s="1035">
        <f t="shared" si="29"/>
        <v>88455538</v>
      </c>
      <c r="DC34" s="1035">
        <f t="shared" si="29"/>
        <v>10181949</v>
      </c>
      <c r="DD34" s="1035">
        <f t="shared" si="29"/>
        <v>182260775</v>
      </c>
      <c r="DE34" s="1035">
        <f t="shared" si="29"/>
        <v>0</v>
      </c>
      <c r="DF34" s="1035">
        <f t="shared" si="29"/>
        <v>0</v>
      </c>
      <c r="DG34" s="1035">
        <f t="shared" si="29"/>
        <v>0</v>
      </c>
      <c r="DH34" s="1035">
        <f t="shared" si="29"/>
        <v>124115032</v>
      </c>
      <c r="DI34" s="1012">
        <f t="shared" si="15"/>
        <v>0.40196978825781549</v>
      </c>
      <c r="DJ34" s="1035">
        <f>SUM(DJ4:DJ33)</f>
        <v>754541012</v>
      </c>
      <c r="DK34" s="1035">
        <f>SUM(DK4:DK33)</f>
        <v>0</v>
      </c>
      <c r="DL34" s="1035">
        <f>SUM(DL4:DL33)</f>
        <v>0</v>
      </c>
      <c r="DM34" s="1035"/>
      <c r="DN34" s="1035">
        <f t="shared" ref="DN34:ED34" si="30">SUM(DN4:DN33)</f>
        <v>0</v>
      </c>
      <c r="DO34" s="1035">
        <f t="shared" si="30"/>
        <v>0</v>
      </c>
      <c r="DP34" s="1035">
        <f t="shared" si="30"/>
        <v>219321319</v>
      </c>
      <c r="DQ34" s="1035">
        <f t="shared" si="30"/>
        <v>65109368</v>
      </c>
      <c r="DR34" s="1035">
        <f t="shared" si="30"/>
        <v>0</v>
      </c>
      <c r="DS34" s="1035">
        <f t="shared" si="30"/>
        <v>0</v>
      </c>
      <c r="DT34" s="1035">
        <f t="shared" si="30"/>
        <v>0</v>
      </c>
      <c r="DU34" s="1035">
        <f t="shared" si="30"/>
        <v>0</v>
      </c>
      <c r="DV34" s="1035">
        <f t="shared" si="30"/>
        <v>0</v>
      </c>
      <c r="DW34" s="1035">
        <f t="shared" si="30"/>
        <v>0</v>
      </c>
      <c r="DX34" s="1035">
        <f t="shared" si="30"/>
        <v>181544462</v>
      </c>
      <c r="DY34" s="1035">
        <f t="shared" si="30"/>
        <v>175818051</v>
      </c>
      <c r="DZ34" s="1035">
        <f t="shared" si="30"/>
        <v>37739225</v>
      </c>
      <c r="EA34" s="1035">
        <f t="shared" si="30"/>
        <v>0</v>
      </c>
      <c r="EB34" s="1035">
        <f t="shared" si="30"/>
        <v>0</v>
      </c>
      <c r="EC34" s="1035">
        <f t="shared" si="30"/>
        <v>0</v>
      </c>
      <c r="ED34" s="1043">
        <f t="shared" si="30"/>
        <v>75008587</v>
      </c>
    </row>
    <row r="35" spans="1:134" ht="49.5" hidden="1" customHeight="1" thickTop="1" x14ac:dyDescent="0.25">
      <c r="A35" s="1561" t="s">
        <v>4755</v>
      </c>
      <c r="B35" s="1027" t="s">
        <v>4306</v>
      </c>
      <c r="C35" s="1116" t="s">
        <v>4367</v>
      </c>
      <c r="D35" s="1019" t="s">
        <v>4601</v>
      </c>
      <c r="E35" s="1020">
        <v>410</v>
      </c>
      <c r="F35" s="1120" t="s">
        <v>3350</v>
      </c>
      <c r="G35" s="1563">
        <v>1000000000</v>
      </c>
      <c r="H35" s="1061">
        <f t="shared" ref="H35:H66" si="31">+CN35</f>
        <v>614924441</v>
      </c>
      <c r="I35" s="1061">
        <f t="shared" ref="I35:I66" si="32">Y35-H35</f>
        <v>8896440</v>
      </c>
      <c r="J35" s="1124" t="s">
        <v>4779</v>
      </c>
      <c r="K35" s="1118" t="s">
        <v>4780</v>
      </c>
      <c r="L35" s="1118" t="s">
        <v>4781</v>
      </c>
      <c r="M35" s="1115">
        <v>24</v>
      </c>
      <c r="N35" s="1115">
        <v>67</v>
      </c>
      <c r="O35" s="1115">
        <v>16</v>
      </c>
      <c r="P35" s="1118">
        <v>97</v>
      </c>
      <c r="Q35" s="1118">
        <v>200</v>
      </c>
      <c r="R35" s="1118">
        <v>195</v>
      </c>
      <c r="S35" s="1124"/>
      <c r="T35" s="1124"/>
      <c r="U35" s="1124"/>
      <c r="V35" s="1124"/>
      <c r="W35" s="1124"/>
      <c r="X35" s="1124"/>
      <c r="Y35" s="1008">
        <f t="shared" ref="Y35:Y66" si="33">SUM(Z35:AS35)</f>
        <v>623820881</v>
      </c>
      <c r="Z35" s="991"/>
      <c r="AA35" s="1017">
        <f>100000000+180000000-280000000</f>
        <v>0</v>
      </c>
      <c r="AB35" s="1017">
        <v>280000000</v>
      </c>
      <c r="AC35" s="1008">
        <f>300000000+220000000-216179119</f>
        <v>303820881</v>
      </c>
      <c r="AD35" s="991"/>
      <c r="AE35" s="1008">
        <f>20000000+20000000</f>
        <v>40000000</v>
      </c>
      <c r="AF35" s="1017">
        <f>400000000-180000000-220000000</f>
        <v>0</v>
      </c>
      <c r="AG35" s="991"/>
      <c r="AH35" s="991"/>
      <c r="AI35" s="991"/>
      <c r="AJ35" s="991"/>
      <c r="AK35" s="875"/>
      <c r="AL35" s="991"/>
      <c r="AM35" s="991"/>
      <c r="AN35" s="991"/>
      <c r="AO35" s="991"/>
      <c r="AP35" s="991"/>
      <c r="AQ35" s="991"/>
      <c r="AR35" s="991"/>
      <c r="AS35" s="991"/>
      <c r="AU35" s="1619">
        <f t="shared" si="3"/>
        <v>0.9857387909398948</v>
      </c>
      <c r="AV35" s="1008">
        <f t="shared" ref="AV35:AV66" si="34">SUM(AW35:BP35)</f>
        <v>614924441</v>
      </c>
      <c r="AW35" s="1008"/>
      <c r="AX35" s="1008"/>
      <c r="AY35" s="1008">
        <v>280000000</v>
      </c>
      <c r="AZ35" s="1008">
        <f>+'[14]JUNIO 2015'!$M$866</f>
        <v>303820881</v>
      </c>
      <c r="BA35" s="1008"/>
      <c r="BB35" s="1008">
        <f>+'[18]OCTUBRE 2015'!$O$1497</f>
        <v>31103560</v>
      </c>
      <c r="BC35" s="1008"/>
      <c r="BD35" s="1008"/>
      <c r="BE35" s="1008"/>
      <c r="BF35" s="1008"/>
      <c r="BG35" s="1008"/>
      <c r="BH35" s="1008"/>
      <c r="BI35" s="1008"/>
      <c r="BJ35" s="1008"/>
      <c r="BK35" s="1008"/>
      <c r="BL35" s="1008"/>
      <c r="BM35" s="1008"/>
      <c r="BN35" s="1008"/>
      <c r="BO35" s="1008"/>
      <c r="BP35" s="1008"/>
      <c r="BQ35" s="1011">
        <f t="shared" si="25"/>
        <v>1.4261209060105196E-2</v>
      </c>
      <c r="BR35" s="1008">
        <f t="shared" ref="BR35:BR66" si="35">SUM(BS35:CL35)</f>
        <v>8896440</v>
      </c>
      <c r="BS35" s="1008">
        <f t="shared" ref="BS35:BS58" si="36">+Z35-AW35</f>
        <v>0</v>
      </c>
      <c r="BT35" s="1008">
        <f t="shared" ref="BT35:BV50" si="37">AA35-AX35</f>
        <v>0</v>
      </c>
      <c r="BU35" s="1008">
        <f t="shared" si="37"/>
        <v>0</v>
      </c>
      <c r="BV35" s="1008">
        <f t="shared" si="37"/>
        <v>0</v>
      </c>
      <c r="BW35" s="1008"/>
      <c r="BX35" s="1008">
        <f t="shared" ref="BX35:BY58" si="38">+AE35-BB35</f>
        <v>8896440</v>
      </c>
      <c r="BY35" s="1008">
        <f t="shared" si="38"/>
        <v>0</v>
      </c>
      <c r="BZ35" s="1008"/>
      <c r="CA35" s="1008"/>
      <c r="CB35" s="1008">
        <f t="shared" ref="CB35:CB42" si="39">+AI35-BF35</f>
        <v>0</v>
      </c>
      <c r="CC35" s="1008"/>
      <c r="CD35" s="1008">
        <f t="shared" ref="CD35:CI54" si="40">+AK35-BH35</f>
        <v>0</v>
      </c>
      <c r="CE35" s="1008">
        <f t="shared" si="40"/>
        <v>0</v>
      </c>
      <c r="CF35" s="1008">
        <f t="shared" si="40"/>
        <v>0</v>
      </c>
      <c r="CG35" s="1008">
        <f t="shared" si="40"/>
        <v>0</v>
      </c>
      <c r="CH35" s="1008">
        <f t="shared" si="40"/>
        <v>0</v>
      </c>
      <c r="CI35" s="1008">
        <f t="shared" si="40"/>
        <v>0</v>
      </c>
      <c r="CJ35" s="1008"/>
      <c r="CK35" s="1008"/>
      <c r="CL35" s="1008">
        <f t="shared" ref="CL35:CL66" si="41">+AS35-BP35</f>
        <v>0</v>
      </c>
      <c r="CM35" s="1011">
        <f t="shared" si="13"/>
        <v>0.9857387909398948</v>
      </c>
      <c r="CN35" s="1008">
        <f t="shared" ref="CN35:CN66" si="42">SUM(CO35:DH35)</f>
        <v>614924441</v>
      </c>
      <c r="CO35" s="1008"/>
      <c r="CP35" s="1008"/>
      <c r="CQ35" s="1008">
        <f>+'[12]MAYO 2015'!$H$730+'[12]MAYO 2015'!$H$740</f>
        <v>280000000</v>
      </c>
      <c r="CR35" s="1008">
        <f>+'[14]JUNIO 2015'!$H$871+'[14]JUNIO 2015'!$H$882</f>
        <v>303820881</v>
      </c>
      <c r="CS35" s="1008"/>
      <c r="CT35" s="1008">
        <f>+'[18]OCTUBRE 2015'!$O$1497</f>
        <v>31103560</v>
      </c>
      <c r="CU35" s="1008"/>
      <c r="CV35" s="1008"/>
      <c r="CW35" s="1008"/>
      <c r="CX35" s="1008"/>
      <c r="CY35" s="1008"/>
      <c r="CZ35" s="1008"/>
      <c r="DA35" s="1008"/>
      <c r="DB35" s="1008"/>
      <c r="DC35" s="1008"/>
      <c r="DD35" s="1008"/>
      <c r="DE35" s="1008"/>
      <c r="DF35" s="1008"/>
      <c r="DG35" s="1008"/>
      <c r="DH35" s="1008"/>
      <c r="DI35" s="1011">
        <f t="shared" si="15"/>
        <v>1.4261209060105196E-2</v>
      </c>
      <c r="DJ35" s="1008">
        <f t="shared" ref="DJ35:DJ66" si="43">SUM(DK35:ED35)</f>
        <v>8896440</v>
      </c>
      <c r="DK35" s="1008"/>
      <c r="DL35" s="1008">
        <f t="shared" ref="DL35:DN37" si="44">AA35-CP35</f>
        <v>0</v>
      </c>
      <c r="DM35" s="1008">
        <f t="shared" si="44"/>
        <v>0</v>
      </c>
      <c r="DN35" s="1008">
        <f t="shared" si="44"/>
        <v>0</v>
      </c>
      <c r="DO35" s="1008"/>
      <c r="DP35" s="1008">
        <f t="shared" ref="DP35:DQ58" si="45">AE35-CT35</f>
        <v>8896440</v>
      </c>
      <c r="DQ35" s="1008">
        <f t="shared" si="45"/>
        <v>0</v>
      </c>
      <c r="DR35" s="1008"/>
      <c r="DS35" s="1008">
        <f t="shared" ref="DS35:DT58" si="46">+AH35-CW35</f>
        <v>0</v>
      </c>
      <c r="DT35" s="1008">
        <f t="shared" si="46"/>
        <v>0</v>
      </c>
      <c r="DU35" s="1008"/>
      <c r="DV35" s="1008">
        <f t="shared" ref="DV35:DX58" si="47">AK35-CZ35</f>
        <v>0</v>
      </c>
      <c r="DW35" s="1008">
        <f t="shared" si="47"/>
        <v>0</v>
      </c>
      <c r="DX35" s="1008">
        <f t="shared" si="47"/>
        <v>0</v>
      </c>
      <c r="DY35" s="1008">
        <f t="shared" ref="DY35:EB58" si="48">+AN35-DC35</f>
        <v>0</v>
      </c>
      <c r="DZ35" s="1008">
        <f t="shared" si="48"/>
        <v>0</v>
      </c>
      <c r="EA35" s="1008">
        <f t="shared" si="48"/>
        <v>0</v>
      </c>
      <c r="EB35" s="1008">
        <f t="shared" si="48"/>
        <v>0</v>
      </c>
      <c r="EC35" s="1008"/>
      <c r="ED35" s="1008">
        <f t="shared" ref="ED35:ED66" si="49">+AS35-DH35</f>
        <v>0</v>
      </c>
    </row>
    <row r="36" spans="1:134" ht="48" hidden="1" customHeight="1" x14ac:dyDescent="0.25">
      <c r="A36" s="1562"/>
      <c r="B36" s="1019"/>
      <c r="C36" s="1116" t="s">
        <v>4368</v>
      </c>
      <c r="D36" s="1019" t="s">
        <v>4602</v>
      </c>
      <c r="E36" s="1020">
        <v>410</v>
      </c>
      <c r="F36" s="1120" t="s">
        <v>3350</v>
      </c>
      <c r="G36" s="1400"/>
      <c r="H36" s="1061">
        <f t="shared" si="31"/>
        <v>7649518</v>
      </c>
      <c r="I36" s="1061">
        <f t="shared" si="32"/>
        <v>0</v>
      </c>
      <c r="J36" s="1120" t="s">
        <v>4782</v>
      </c>
      <c r="K36" s="1115" t="s">
        <v>4783</v>
      </c>
      <c r="L36" s="1115" t="s">
        <v>4784</v>
      </c>
      <c r="M36" s="1115">
        <v>0</v>
      </c>
      <c r="N36" s="1115">
        <v>0</v>
      </c>
      <c r="O36" s="1115">
        <v>0</v>
      </c>
      <c r="P36" s="1115">
        <v>100</v>
      </c>
      <c r="Q36" s="1115">
        <v>33</v>
      </c>
      <c r="R36" s="1115">
        <v>33</v>
      </c>
      <c r="S36" s="1120"/>
      <c r="T36" s="1120"/>
      <c r="U36" s="1120"/>
      <c r="V36" s="1120"/>
      <c r="W36" s="1120"/>
      <c r="X36" s="1120"/>
      <c r="Y36" s="1008">
        <f t="shared" si="33"/>
        <v>7649518</v>
      </c>
      <c r="Z36" s="1008"/>
      <c r="AA36" s="1008">
        <f>100000000-92350482</f>
        <v>7649518</v>
      </c>
      <c r="AB36" s="1008"/>
      <c r="AC36" s="1008"/>
      <c r="AD36" s="1008"/>
      <c r="AE36" s="1008"/>
      <c r="AF36" s="1008"/>
      <c r="AG36" s="1008"/>
      <c r="AH36" s="1008"/>
      <c r="AI36" s="1008"/>
      <c r="AJ36" s="1008"/>
      <c r="AK36" s="1008"/>
      <c r="AL36" s="1008"/>
      <c r="AM36" s="1008"/>
      <c r="AN36" s="1008"/>
      <c r="AO36" s="1008"/>
      <c r="AP36" s="1008"/>
      <c r="AQ36" s="1008"/>
      <c r="AR36" s="1008"/>
      <c r="AS36" s="1008"/>
      <c r="AU36" s="1011">
        <f t="shared" si="3"/>
        <v>1</v>
      </c>
      <c r="AV36" s="1008">
        <f t="shared" si="34"/>
        <v>7649518</v>
      </c>
      <c r="AW36" s="1008"/>
      <c r="AX36" s="1008">
        <v>7649518</v>
      </c>
      <c r="AY36" s="1008"/>
      <c r="AZ36" s="1008"/>
      <c r="BA36" s="1008"/>
      <c r="BB36" s="1008"/>
      <c r="BC36" s="1008"/>
      <c r="BD36" s="1008"/>
      <c r="BE36" s="1008"/>
      <c r="BF36" s="1008"/>
      <c r="BG36" s="1008"/>
      <c r="BH36" s="1008"/>
      <c r="BI36" s="1008"/>
      <c r="BJ36" s="1008"/>
      <c r="BK36" s="1008"/>
      <c r="BL36" s="1008"/>
      <c r="BM36" s="1008"/>
      <c r="BN36" s="1008"/>
      <c r="BO36" s="1008"/>
      <c r="BP36" s="1008"/>
      <c r="BQ36" s="1011">
        <f t="shared" si="25"/>
        <v>0</v>
      </c>
      <c r="BR36" s="1008">
        <f t="shared" si="35"/>
        <v>0</v>
      </c>
      <c r="BS36" s="1008">
        <f t="shared" si="36"/>
        <v>0</v>
      </c>
      <c r="BT36" s="1008">
        <f t="shared" si="37"/>
        <v>0</v>
      </c>
      <c r="BU36" s="1008">
        <f t="shared" si="37"/>
        <v>0</v>
      </c>
      <c r="BV36" s="1008">
        <f t="shared" si="37"/>
        <v>0</v>
      </c>
      <c r="BW36" s="1008"/>
      <c r="BX36" s="1008">
        <f t="shared" si="38"/>
        <v>0</v>
      </c>
      <c r="BY36" s="1008">
        <f t="shared" si="38"/>
        <v>0</v>
      </c>
      <c r="BZ36" s="1008"/>
      <c r="CA36" s="1008"/>
      <c r="CB36" s="1008">
        <f t="shared" si="39"/>
        <v>0</v>
      </c>
      <c r="CC36" s="1008"/>
      <c r="CD36" s="1008">
        <f t="shared" si="40"/>
        <v>0</v>
      </c>
      <c r="CE36" s="1008">
        <f t="shared" si="40"/>
        <v>0</v>
      </c>
      <c r="CF36" s="1008">
        <f t="shared" si="40"/>
        <v>0</v>
      </c>
      <c r="CG36" s="1008">
        <f t="shared" si="40"/>
        <v>0</v>
      </c>
      <c r="CH36" s="1008">
        <f t="shared" si="40"/>
        <v>0</v>
      </c>
      <c r="CI36" s="1008">
        <f t="shared" si="40"/>
        <v>0</v>
      </c>
      <c r="CJ36" s="1008"/>
      <c r="CK36" s="1008"/>
      <c r="CL36" s="1008">
        <f t="shared" si="41"/>
        <v>0</v>
      </c>
      <c r="CM36" s="1011">
        <f t="shared" si="13"/>
        <v>1</v>
      </c>
      <c r="CN36" s="1008">
        <f t="shared" si="42"/>
        <v>7649518</v>
      </c>
      <c r="CO36" s="1008"/>
      <c r="CP36" s="1008">
        <f>+'[14]JUNIO 2015'!$K$891</f>
        <v>7649518</v>
      </c>
      <c r="CQ36" s="1008"/>
      <c r="CR36" s="1008"/>
      <c r="CS36" s="1008"/>
      <c r="CT36" s="1008"/>
      <c r="CU36" s="1008"/>
      <c r="CV36" s="1008"/>
      <c r="CW36" s="1008"/>
      <c r="CX36" s="1008"/>
      <c r="CY36" s="1008"/>
      <c r="CZ36" s="1008"/>
      <c r="DA36" s="1008"/>
      <c r="DB36" s="1008"/>
      <c r="DC36" s="1008"/>
      <c r="DD36" s="1008"/>
      <c r="DE36" s="1008"/>
      <c r="DF36" s="1008"/>
      <c r="DG36" s="1008"/>
      <c r="DH36" s="1008"/>
      <c r="DI36" s="1011">
        <f t="shared" si="15"/>
        <v>0</v>
      </c>
      <c r="DJ36" s="1008">
        <f t="shared" si="43"/>
        <v>0</v>
      </c>
      <c r="DK36" s="1008"/>
      <c r="DL36" s="1008">
        <f t="shared" si="44"/>
        <v>0</v>
      </c>
      <c r="DM36" s="1008">
        <f t="shared" si="44"/>
        <v>0</v>
      </c>
      <c r="DN36" s="1008">
        <f t="shared" si="44"/>
        <v>0</v>
      </c>
      <c r="DO36" s="1008"/>
      <c r="DP36" s="1008">
        <f t="shared" si="45"/>
        <v>0</v>
      </c>
      <c r="DQ36" s="1008">
        <f t="shared" si="45"/>
        <v>0</v>
      </c>
      <c r="DR36" s="1008"/>
      <c r="DS36" s="1008">
        <f t="shared" si="46"/>
        <v>0</v>
      </c>
      <c r="DT36" s="1008">
        <f t="shared" si="46"/>
        <v>0</v>
      </c>
      <c r="DU36" s="1008"/>
      <c r="DV36" s="1008">
        <f t="shared" si="47"/>
        <v>0</v>
      </c>
      <c r="DW36" s="1008">
        <f t="shared" si="47"/>
        <v>0</v>
      </c>
      <c r="DX36" s="1008">
        <f t="shared" si="47"/>
        <v>0</v>
      </c>
      <c r="DY36" s="1008">
        <f t="shared" si="48"/>
        <v>0</v>
      </c>
      <c r="DZ36" s="1008">
        <f t="shared" si="48"/>
        <v>0</v>
      </c>
      <c r="EA36" s="1008">
        <f t="shared" si="48"/>
        <v>0</v>
      </c>
      <c r="EB36" s="1008">
        <f t="shared" si="48"/>
        <v>0</v>
      </c>
      <c r="EC36" s="1008"/>
      <c r="ED36" s="1008">
        <f t="shared" si="49"/>
        <v>0</v>
      </c>
    </row>
    <row r="37" spans="1:134" ht="63.75" hidden="1" customHeight="1" x14ac:dyDescent="0.25">
      <c r="A37" s="1562"/>
      <c r="B37" s="1019"/>
      <c r="C37" s="1116" t="s">
        <v>4375</v>
      </c>
      <c r="D37" s="1019" t="s">
        <v>4318</v>
      </c>
      <c r="E37" s="1020">
        <v>410</v>
      </c>
      <c r="F37" s="1120" t="s">
        <v>3350</v>
      </c>
      <c r="G37" s="1401"/>
      <c r="H37" s="1061">
        <f t="shared" si="31"/>
        <v>161758923</v>
      </c>
      <c r="I37" s="1061">
        <f t="shared" si="32"/>
        <v>12608900</v>
      </c>
      <c r="J37" s="1120" t="s">
        <v>4785</v>
      </c>
      <c r="K37" s="1115" t="s">
        <v>4786</v>
      </c>
      <c r="L37" s="1115" t="s">
        <v>4787</v>
      </c>
      <c r="M37" s="1115">
        <v>56</v>
      </c>
      <c r="N37" s="1115">
        <v>100</v>
      </c>
      <c r="O37" s="1115">
        <v>56</v>
      </c>
      <c r="P37" s="1115">
        <v>49</v>
      </c>
      <c r="Q37" s="1115">
        <v>400</v>
      </c>
      <c r="R37" s="1115">
        <v>196</v>
      </c>
      <c r="S37" s="1120"/>
      <c r="T37" s="1120"/>
      <c r="U37" s="1120"/>
      <c r="V37" s="1120"/>
      <c r="W37" s="1120"/>
      <c r="X37" s="1120"/>
      <c r="Y37" s="1008">
        <f t="shared" si="33"/>
        <v>174367823</v>
      </c>
      <c r="Z37" s="1008"/>
      <c r="AA37" s="1008">
        <f>100000000-38824072</f>
        <v>61175928</v>
      </c>
      <c r="AB37" s="1008"/>
      <c r="AC37" s="1008"/>
      <c r="AD37" s="1008"/>
      <c r="AE37" s="1008">
        <v>50000000</v>
      </c>
      <c r="AF37" s="1008"/>
      <c r="AG37" s="1008"/>
      <c r="AH37" s="1008"/>
      <c r="AI37" s="1008"/>
      <c r="AJ37" s="1008"/>
      <c r="AK37" s="1008"/>
      <c r="AL37" s="1008"/>
      <c r="AM37" s="1008"/>
      <c r="AN37" s="1008"/>
      <c r="AO37" s="1008">
        <f>13191895+50000000</f>
        <v>63191895</v>
      </c>
      <c r="AP37" s="1008"/>
      <c r="AQ37" s="1008"/>
      <c r="AR37" s="1008"/>
      <c r="AS37" s="1008"/>
      <c r="AU37" s="1011">
        <f t="shared" si="3"/>
        <v>1</v>
      </c>
      <c r="AV37" s="1008">
        <f t="shared" si="34"/>
        <v>174367823</v>
      </c>
      <c r="AW37" s="1008"/>
      <c r="AX37" s="1008">
        <f>+'[14]JUNIO 2015'!$K$897</f>
        <v>61175928</v>
      </c>
      <c r="AY37" s="1008"/>
      <c r="AZ37" s="1008"/>
      <c r="BA37" s="1008"/>
      <c r="BB37" s="1008">
        <f>+'[14]JUNIO 2015'!$O$897</f>
        <v>50000000</v>
      </c>
      <c r="BC37" s="1008"/>
      <c r="BD37" s="1008"/>
      <c r="BE37" s="1008"/>
      <c r="BF37" s="1008"/>
      <c r="BG37" s="1008"/>
      <c r="BH37" s="1008"/>
      <c r="BI37" s="1008"/>
      <c r="BJ37" s="1008"/>
      <c r="BK37" s="1008"/>
      <c r="BL37" s="1008">
        <f>+'[17]SEPTIEMBRE 2015'!$Y$1352</f>
        <v>63191895</v>
      </c>
      <c r="BM37" s="1008"/>
      <c r="BN37" s="1008"/>
      <c r="BO37" s="1008"/>
      <c r="BP37" s="1008"/>
      <c r="BQ37" s="1011">
        <f t="shared" si="25"/>
        <v>0</v>
      </c>
      <c r="BR37" s="1008">
        <f t="shared" si="35"/>
        <v>0</v>
      </c>
      <c r="BS37" s="1008">
        <f t="shared" si="36"/>
        <v>0</v>
      </c>
      <c r="BT37" s="1008">
        <f t="shared" si="37"/>
        <v>0</v>
      </c>
      <c r="BU37" s="1008">
        <f t="shared" si="37"/>
        <v>0</v>
      </c>
      <c r="BV37" s="1008">
        <f t="shared" si="37"/>
        <v>0</v>
      </c>
      <c r="BW37" s="1008"/>
      <c r="BX37" s="1008">
        <f t="shared" si="38"/>
        <v>0</v>
      </c>
      <c r="BY37" s="1008">
        <f t="shared" si="38"/>
        <v>0</v>
      </c>
      <c r="BZ37" s="1008"/>
      <c r="CA37" s="1008"/>
      <c r="CB37" s="1008">
        <f t="shared" si="39"/>
        <v>0</v>
      </c>
      <c r="CC37" s="1008"/>
      <c r="CD37" s="1008">
        <f t="shared" si="40"/>
        <v>0</v>
      </c>
      <c r="CE37" s="1008">
        <f t="shared" si="40"/>
        <v>0</v>
      </c>
      <c r="CF37" s="1008">
        <f t="shared" si="40"/>
        <v>0</v>
      </c>
      <c r="CG37" s="1008">
        <f t="shared" si="40"/>
        <v>0</v>
      </c>
      <c r="CH37" s="1008">
        <f t="shared" si="40"/>
        <v>0</v>
      </c>
      <c r="CI37" s="1008">
        <f t="shared" si="40"/>
        <v>0</v>
      </c>
      <c r="CJ37" s="1008"/>
      <c r="CK37" s="1008"/>
      <c r="CL37" s="1008">
        <f t="shared" si="41"/>
        <v>0</v>
      </c>
      <c r="CM37" s="1011">
        <f t="shared" si="13"/>
        <v>0.92768791980616749</v>
      </c>
      <c r="CN37" s="1008">
        <f t="shared" si="42"/>
        <v>161758923</v>
      </c>
      <c r="CO37" s="1008"/>
      <c r="CP37" s="1008">
        <f>+'[14]JUNIO 2015'!$H$898</f>
        <v>61175928</v>
      </c>
      <c r="CQ37" s="1008"/>
      <c r="CR37" s="1008"/>
      <c r="CS37" s="1008"/>
      <c r="CT37" s="1008">
        <f>+'[17]SEPTIEMBRE 2015'!$H$1368</f>
        <v>50000000</v>
      </c>
      <c r="CU37" s="1008"/>
      <c r="CV37" s="1008"/>
      <c r="CW37" s="1008"/>
      <c r="CX37" s="1008"/>
      <c r="CY37" s="1008"/>
      <c r="CZ37" s="1008"/>
      <c r="DA37" s="1008"/>
      <c r="DB37" s="1008"/>
      <c r="DC37" s="1008"/>
      <c r="DD37" s="1008">
        <f>+'[18]OCTUBRE 2015'!$H$1559+'[18]OCTUBRE 2015'!$H$1562</f>
        <v>50582995</v>
      </c>
      <c r="DE37" s="1008"/>
      <c r="DF37" s="1008"/>
      <c r="DG37" s="1008"/>
      <c r="DH37" s="1008"/>
      <c r="DI37" s="1011">
        <f t="shared" si="15"/>
        <v>7.2312080193832506E-2</v>
      </c>
      <c r="DJ37" s="1008">
        <f t="shared" si="43"/>
        <v>12608900</v>
      </c>
      <c r="DK37" s="1008"/>
      <c r="DL37" s="1008">
        <f t="shared" si="44"/>
        <v>0</v>
      </c>
      <c r="DM37" s="1008">
        <f t="shared" si="44"/>
        <v>0</v>
      </c>
      <c r="DN37" s="1008">
        <f t="shared" si="44"/>
        <v>0</v>
      </c>
      <c r="DO37" s="1008"/>
      <c r="DP37" s="1008">
        <f t="shared" si="45"/>
        <v>0</v>
      </c>
      <c r="DQ37" s="1008">
        <f t="shared" si="45"/>
        <v>0</v>
      </c>
      <c r="DR37" s="1008"/>
      <c r="DS37" s="1008">
        <f t="shared" si="46"/>
        <v>0</v>
      </c>
      <c r="DT37" s="1008">
        <f t="shared" si="46"/>
        <v>0</v>
      </c>
      <c r="DU37" s="1008"/>
      <c r="DV37" s="1008">
        <f t="shared" si="47"/>
        <v>0</v>
      </c>
      <c r="DW37" s="1008">
        <f t="shared" si="47"/>
        <v>0</v>
      </c>
      <c r="DX37" s="1008">
        <f t="shared" si="47"/>
        <v>0</v>
      </c>
      <c r="DY37" s="1008">
        <f t="shared" si="48"/>
        <v>0</v>
      </c>
      <c r="DZ37" s="1008">
        <f t="shared" si="48"/>
        <v>12608900</v>
      </c>
      <c r="EA37" s="1008">
        <f t="shared" si="48"/>
        <v>0</v>
      </c>
      <c r="EB37" s="1008">
        <f t="shared" si="48"/>
        <v>0</v>
      </c>
      <c r="EC37" s="1008"/>
      <c r="ED37" s="1008">
        <f t="shared" si="49"/>
        <v>0</v>
      </c>
    </row>
    <row r="38" spans="1:134" ht="36.75" hidden="1" customHeight="1" x14ac:dyDescent="0.25">
      <c r="A38" s="1562"/>
      <c r="B38" s="1019" t="s">
        <v>4308</v>
      </c>
      <c r="C38" s="1117" t="s">
        <v>4369</v>
      </c>
      <c r="D38" s="1019" t="s">
        <v>4724</v>
      </c>
      <c r="E38" s="1020">
        <v>410</v>
      </c>
      <c r="F38" s="1120" t="s">
        <v>3350</v>
      </c>
      <c r="G38" s="1399">
        <v>170000000</v>
      </c>
      <c r="H38" s="1061">
        <f t="shared" si="31"/>
        <v>0</v>
      </c>
      <c r="I38" s="1061">
        <f t="shared" si="32"/>
        <v>0</v>
      </c>
      <c r="J38" s="1120" t="s">
        <v>4788</v>
      </c>
      <c r="K38" s="1115" t="s">
        <v>4789</v>
      </c>
      <c r="L38" s="1115" t="s">
        <v>4790</v>
      </c>
      <c r="M38" s="1115">
        <v>0</v>
      </c>
      <c r="N38" s="1115">
        <v>0</v>
      </c>
      <c r="O38" s="1115">
        <v>0</v>
      </c>
      <c r="P38" s="1115">
        <v>0</v>
      </c>
      <c r="Q38" s="1115">
        <v>0</v>
      </c>
      <c r="R38" s="1115">
        <v>0</v>
      </c>
      <c r="S38" s="1120"/>
      <c r="T38" s="1120"/>
      <c r="U38" s="1120"/>
      <c r="V38" s="1120"/>
      <c r="W38" s="1120"/>
      <c r="X38" s="1120"/>
      <c r="Y38" s="1008">
        <f t="shared" si="33"/>
        <v>0</v>
      </c>
      <c r="Z38" s="1008"/>
      <c r="AA38" s="1008"/>
      <c r="AB38" s="1008"/>
      <c r="AC38" s="1008"/>
      <c r="AD38" s="1008"/>
      <c r="AE38" s="1008">
        <f>10000000-10000000</f>
        <v>0</v>
      </c>
      <c r="AF38" s="1008"/>
      <c r="AG38" s="1008"/>
      <c r="AH38" s="1008"/>
      <c r="AI38" s="1008"/>
      <c r="AJ38" s="1008"/>
      <c r="AK38" s="1008"/>
      <c r="AL38" s="1008"/>
      <c r="AM38" s="1008"/>
      <c r="AN38" s="1008"/>
      <c r="AO38" s="1008"/>
      <c r="AP38" s="1008"/>
      <c r="AQ38" s="1008"/>
      <c r="AR38" s="1008"/>
      <c r="AS38" s="1008"/>
      <c r="AU38" s="1011">
        <v>0</v>
      </c>
      <c r="AV38" s="1008">
        <f t="shared" si="34"/>
        <v>0</v>
      </c>
      <c r="AW38" s="1008"/>
      <c r="AX38" s="1008"/>
      <c r="AY38" s="1008"/>
      <c r="AZ38" s="1008"/>
      <c r="BA38" s="1008"/>
      <c r="BB38" s="1008"/>
      <c r="BC38" s="1008"/>
      <c r="BD38" s="1008"/>
      <c r="BE38" s="1008"/>
      <c r="BF38" s="1008"/>
      <c r="BG38" s="1008"/>
      <c r="BH38" s="1008"/>
      <c r="BI38" s="1008"/>
      <c r="BJ38" s="1008"/>
      <c r="BK38" s="1008"/>
      <c r="BL38" s="1008"/>
      <c r="BM38" s="1008"/>
      <c r="BN38" s="1008"/>
      <c r="BO38" s="1008"/>
      <c r="BP38" s="1008"/>
      <c r="BQ38" s="1011">
        <v>0</v>
      </c>
      <c r="BR38" s="1008">
        <f t="shared" si="35"/>
        <v>0</v>
      </c>
      <c r="BS38" s="1008">
        <f t="shared" si="36"/>
        <v>0</v>
      </c>
      <c r="BT38" s="1008"/>
      <c r="BU38" s="1008">
        <f t="shared" si="37"/>
        <v>0</v>
      </c>
      <c r="BV38" s="1008">
        <f t="shared" si="37"/>
        <v>0</v>
      </c>
      <c r="BW38" s="1008"/>
      <c r="BX38" s="1008">
        <f t="shared" si="38"/>
        <v>0</v>
      </c>
      <c r="BY38" s="1008">
        <f t="shared" si="38"/>
        <v>0</v>
      </c>
      <c r="BZ38" s="1008"/>
      <c r="CA38" s="1008">
        <f>+AH38-BE38</f>
        <v>0</v>
      </c>
      <c r="CB38" s="1008">
        <f t="shared" si="39"/>
        <v>0</v>
      </c>
      <c r="CC38" s="1008">
        <f>+AJ38-BG38</f>
        <v>0</v>
      </c>
      <c r="CD38" s="1008">
        <f t="shared" si="40"/>
        <v>0</v>
      </c>
      <c r="CE38" s="1008">
        <f t="shared" si="40"/>
        <v>0</v>
      </c>
      <c r="CF38" s="1008">
        <f t="shared" si="40"/>
        <v>0</v>
      </c>
      <c r="CG38" s="1008">
        <f t="shared" si="40"/>
        <v>0</v>
      </c>
      <c r="CH38" s="1008">
        <f t="shared" si="40"/>
        <v>0</v>
      </c>
      <c r="CI38" s="1008">
        <f t="shared" si="40"/>
        <v>0</v>
      </c>
      <c r="CJ38" s="1008"/>
      <c r="CK38" s="1008"/>
      <c r="CL38" s="1008">
        <f t="shared" si="41"/>
        <v>0</v>
      </c>
      <c r="CM38" s="1011">
        <v>0</v>
      </c>
      <c r="CN38" s="1008">
        <f t="shared" si="42"/>
        <v>0</v>
      </c>
      <c r="CO38" s="1008"/>
      <c r="CP38" s="1008"/>
      <c r="CQ38" s="1008"/>
      <c r="CR38" s="1008"/>
      <c r="CS38" s="1008"/>
      <c r="CT38" s="1008"/>
      <c r="CU38" s="1008"/>
      <c r="CV38" s="1008"/>
      <c r="CW38" s="1008"/>
      <c r="CX38" s="1008"/>
      <c r="CY38" s="1008"/>
      <c r="CZ38" s="1008"/>
      <c r="DA38" s="1008"/>
      <c r="DB38" s="1008"/>
      <c r="DC38" s="1008"/>
      <c r="DD38" s="1008"/>
      <c r="DE38" s="1008"/>
      <c r="DF38" s="1008"/>
      <c r="DG38" s="1008"/>
      <c r="DH38" s="1008"/>
      <c r="DI38" s="1011">
        <v>0</v>
      </c>
      <c r="DJ38" s="1008">
        <f t="shared" si="43"/>
        <v>0</v>
      </c>
      <c r="DK38" s="1008"/>
      <c r="DL38" s="1008"/>
      <c r="DM38" s="1008"/>
      <c r="DN38" s="1008"/>
      <c r="DO38" s="1008"/>
      <c r="DP38" s="1008">
        <f t="shared" si="45"/>
        <v>0</v>
      </c>
      <c r="DQ38" s="1008">
        <f t="shared" si="45"/>
        <v>0</v>
      </c>
      <c r="DR38" s="1008"/>
      <c r="DS38" s="1008">
        <f t="shared" si="46"/>
        <v>0</v>
      </c>
      <c r="DT38" s="1008">
        <f t="shared" si="46"/>
        <v>0</v>
      </c>
      <c r="DU38" s="1008"/>
      <c r="DV38" s="1008">
        <f t="shared" si="47"/>
        <v>0</v>
      </c>
      <c r="DW38" s="1008">
        <f t="shared" si="47"/>
        <v>0</v>
      </c>
      <c r="DX38" s="1008">
        <f t="shared" si="47"/>
        <v>0</v>
      </c>
      <c r="DY38" s="1008">
        <f t="shared" si="48"/>
        <v>0</v>
      </c>
      <c r="DZ38" s="1008">
        <f t="shared" si="48"/>
        <v>0</v>
      </c>
      <c r="EA38" s="1008">
        <f t="shared" si="48"/>
        <v>0</v>
      </c>
      <c r="EB38" s="1008">
        <f t="shared" si="48"/>
        <v>0</v>
      </c>
      <c r="EC38" s="1008"/>
      <c r="ED38" s="1008">
        <f t="shared" si="49"/>
        <v>0</v>
      </c>
    </row>
    <row r="39" spans="1:134" ht="37.5" hidden="1" customHeight="1" x14ac:dyDescent="0.25">
      <c r="A39" s="1562"/>
      <c r="B39" s="1019"/>
      <c r="C39" s="1116" t="s">
        <v>4370</v>
      </c>
      <c r="D39" s="1019" t="s">
        <v>4603</v>
      </c>
      <c r="E39" s="1020">
        <v>410</v>
      </c>
      <c r="F39" s="1120" t="s">
        <v>3350</v>
      </c>
      <c r="G39" s="1400"/>
      <c r="H39" s="1061">
        <f t="shared" si="31"/>
        <v>119444732</v>
      </c>
      <c r="I39" s="1061">
        <f t="shared" si="32"/>
        <v>61399353</v>
      </c>
      <c r="J39" s="1120" t="s">
        <v>4776</v>
      </c>
      <c r="K39" s="1115" t="s">
        <v>4791</v>
      </c>
      <c r="L39" s="1115" t="s">
        <v>4792</v>
      </c>
      <c r="M39" s="1115">
        <v>10</v>
      </c>
      <c r="N39" s="1115">
        <v>0</v>
      </c>
      <c r="O39" s="1115">
        <v>0</v>
      </c>
      <c r="P39" s="1115">
        <v>26</v>
      </c>
      <c r="Q39" s="1115">
        <v>200</v>
      </c>
      <c r="R39" s="1115">
        <v>26</v>
      </c>
      <c r="S39" s="1120"/>
      <c r="T39" s="1120"/>
      <c r="U39" s="1120"/>
      <c r="V39" s="1120"/>
      <c r="W39" s="1120"/>
      <c r="X39" s="1120"/>
      <c r="Y39" s="1008">
        <f t="shared" si="33"/>
        <v>180844085</v>
      </c>
      <c r="Z39" s="1008"/>
      <c r="AA39" s="1008"/>
      <c r="AB39" s="1008"/>
      <c r="AC39" s="1008"/>
      <c r="AD39" s="1008"/>
      <c r="AE39" s="1008">
        <v>20000000</v>
      </c>
      <c r="AF39" s="1008"/>
      <c r="AG39" s="1008"/>
      <c r="AH39" s="1008"/>
      <c r="AI39" s="1008"/>
      <c r="AJ39" s="1008"/>
      <c r="AK39" s="1008"/>
      <c r="AL39" s="1008"/>
      <c r="AM39" s="1008"/>
      <c r="AN39" s="1008">
        <f>100000000-20000000</f>
        <v>80000000</v>
      </c>
      <c r="AO39" s="1008"/>
      <c r="AP39" s="1008"/>
      <c r="AQ39" s="1008">
        <v>80844085</v>
      </c>
      <c r="AR39" s="1008"/>
      <c r="AS39" s="1008"/>
      <c r="AU39" s="1011">
        <f t="shared" si="3"/>
        <v>1</v>
      </c>
      <c r="AV39" s="1008">
        <f t="shared" si="34"/>
        <v>180844085</v>
      </c>
      <c r="AW39" s="1008"/>
      <c r="AX39" s="1008"/>
      <c r="AY39" s="1008"/>
      <c r="AZ39" s="1008"/>
      <c r="BA39" s="1008"/>
      <c r="BB39" s="1008">
        <f>+'[9]FEBRERO 2015'!$N$495</f>
        <v>20000000</v>
      </c>
      <c r="BC39" s="1008"/>
      <c r="BD39" s="1008"/>
      <c r="BE39" s="1008"/>
      <c r="BF39" s="1008"/>
      <c r="BG39" s="1008"/>
      <c r="BH39" s="1008"/>
      <c r="BI39" s="1008"/>
      <c r="BJ39" s="1008"/>
      <c r="BK39" s="1008">
        <f>+'[18]OCTUBRE 2015'!$X$1580</f>
        <v>80000000</v>
      </c>
      <c r="BL39" s="1008"/>
      <c r="BM39" s="1008"/>
      <c r="BN39" s="1008">
        <f>+'[10]MARZO 2015'!$Z$635</f>
        <v>80844085</v>
      </c>
      <c r="BO39" s="1008"/>
      <c r="BP39" s="1008"/>
      <c r="BQ39" s="1011">
        <f t="shared" si="25"/>
        <v>0</v>
      </c>
      <c r="BR39" s="1008">
        <f t="shared" si="35"/>
        <v>0</v>
      </c>
      <c r="BS39" s="1008">
        <f t="shared" si="36"/>
        <v>0</v>
      </c>
      <c r="BT39" s="1008"/>
      <c r="BU39" s="1008">
        <f t="shared" si="37"/>
        <v>0</v>
      </c>
      <c r="BV39" s="1008">
        <f t="shared" si="37"/>
        <v>0</v>
      </c>
      <c r="BW39" s="1008"/>
      <c r="BX39" s="1008">
        <f t="shared" si="38"/>
        <v>0</v>
      </c>
      <c r="BY39" s="1008">
        <f t="shared" si="38"/>
        <v>0</v>
      </c>
      <c r="BZ39" s="1008"/>
      <c r="CA39" s="1008">
        <f>+AH39-BE39</f>
        <v>0</v>
      </c>
      <c r="CB39" s="1008">
        <f t="shared" si="39"/>
        <v>0</v>
      </c>
      <c r="CC39" s="1008">
        <f>+AJ39-BG39</f>
        <v>0</v>
      </c>
      <c r="CD39" s="1008">
        <f t="shared" si="40"/>
        <v>0</v>
      </c>
      <c r="CE39" s="1008">
        <f t="shared" si="40"/>
        <v>0</v>
      </c>
      <c r="CF39" s="1008">
        <f t="shared" si="40"/>
        <v>0</v>
      </c>
      <c r="CG39" s="1008">
        <f t="shared" si="40"/>
        <v>0</v>
      </c>
      <c r="CH39" s="1008">
        <f t="shared" si="40"/>
        <v>0</v>
      </c>
      <c r="CI39" s="1008">
        <f t="shared" si="40"/>
        <v>0</v>
      </c>
      <c r="CJ39" s="1008"/>
      <c r="CK39" s="1008"/>
      <c r="CL39" s="1008">
        <f t="shared" si="41"/>
        <v>0</v>
      </c>
      <c r="CM39" s="1011">
        <f t="shared" si="13"/>
        <v>0.66048459367637047</v>
      </c>
      <c r="CN39" s="1008">
        <f t="shared" si="42"/>
        <v>119444732</v>
      </c>
      <c r="CO39" s="1008"/>
      <c r="CP39" s="1008"/>
      <c r="CQ39" s="1008"/>
      <c r="CR39" s="1008"/>
      <c r="CS39" s="1008"/>
      <c r="CT39" s="1008">
        <f>+'[14]JUNIO 2015'!$H$924</f>
        <v>20000000</v>
      </c>
      <c r="CU39" s="1008"/>
      <c r="CV39" s="1008"/>
      <c r="CW39" s="1008"/>
      <c r="CX39" s="1008"/>
      <c r="CY39" s="1008"/>
      <c r="CZ39" s="1008"/>
      <c r="DA39" s="1008"/>
      <c r="DB39" s="1008"/>
      <c r="DC39" s="1008">
        <f>+'[18]OCTUBRE 2015'!$H$1586+'[18]OCTUBRE 2015'!$H$1596+'[18]OCTUBRE 2015'!$H$1618</f>
        <v>66896181</v>
      </c>
      <c r="DD39" s="1008"/>
      <c r="DE39" s="1008"/>
      <c r="DF39" s="1008">
        <f>+'[18]OCTUBRE 2015'!$H$1602</f>
        <v>32548551</v>
      </c>
      <c r="DG39" s="1008"/>
      <c r="DH39" s="1008"/>
      <c r="DI39" s="1011">
        <f t="shared" si="15"/>
        <v>0.33951540632362953</v>
      </c>
      <c r="DJ39" s="1008">
        <f t="shared" si="43"/>
        <v>61399353</v>
      </c>
      <c r="DK39" s="1008"/>
      <c r="DL39" s="1008"/>
      <c r="DM39" s="1008"/>
      <c r="DN39" s="1008"/>
      <c r="DO39" s="1008"/>
      <c r="DP39" s="1008">
        <f t="shared" si="45"/>
        <v>0</v>
      </c>
      <c r="DQ39" s="1008">
        <f t="shared" si="45"/>
        <v>0</v>
      </c>
      <c r="DR39" s="1008"/>
      <c r="DS39" s="1008">
        <f t="shared" si="46"/>
        <v>0</v>
      </c>
      <c r="DT39" s="1008">
        <f t="shared" si="46"/>
        <v>0</v>
      </c>
      <c r="DU39" s="1008"/>
      <c r="DV39" s="1008">
        <f t="shared" si="47"/>
        <v>0</v>
      </c>
      <c r="DW39" s="1008">
        <f t="shared" si="47"/>
        <v>0</v>
      </c>
      <c r="DX39" s="1008">
        <f t="shared" si="47"/>
        <v>0</v>
      </c>
      <c r="DY39" s="1008">
        <f t="shared" si="48"/>
        <v>13103819</v>
      </c>
      <c r="DZ39" s="1008">
        <f t="shared" si="48"/>
        <v>0</v>
      </c>
      <c r="EA39" s="1008">
        <f t="shared" si="48"/>
        <v>0</v>
      </c>
      <c r="EB39" s="1008">
        <f t="shared" si="48"/>
        <v>48295534</v>
      </c>
      <c r="EC39" s="1008"/>
      <c r="ED39" s="1008">
        <f t="shared" si="49"/>
        <v>0</v>
      </c>
    </row>
    <row r="40" spans="1:134" ht="42" hidden="1" customHeight="1" x14ac:dyDescent="0.25">
      <c r="A40" s="1562"/>
      <c r="B40" s="1019"/>
      <c r="C40" s="1116" t="s">
        <v>4371</v>
      </c>
      <c r="D40" s="1019" t="s">
        <v>4604</v>
      </c>
      <c r="E40" s="1020">
        <v>410</v>
      </c>
      <c r="F40" s="1120" t="s">
        <v>3350</v>
      </c>
      <c r="G40" s="1400"/>
      <c r="H40" s="1061">
        <f t="shared" si="31"/>
        <v>1064000</v>
      </c>
      <c r="I40" s="1061">
        <f t="shared" si="32"/>
        <v>8936000</v>
      </c>
      <c r="J40" s="1120" t="s">
        <v>4793</v>
      </c>
      <c r="K40" s="1115" t="s">
        <v>4794</v>
      </c>
      <c r="L40" s="1115" t="s">
        <v>4795</v>
      </c>
      <c r="M40" s="1115">
        <v>0</v>
      </c>
      <c r="N40" s="1115">
        <v>0</v>
      </c>
      <c r="O40" s="1115">
        <v>0</v>
      </c>
      <c r="P40" s="1115">
        <v>6</v>
      </c>
      <c r="Q40" s="1115">
        <v>0</v>
      </c>
      <c r="R40" s="1115">
        <v>0</v>
      </c>
      <c r="S40" s="1120"/>
      <c r="T40" s="1120"/>
      <c r="U40" s="1120"/>
      <c r="V40" s="1120"/>
      <c r="W40" s="1120"/>
      <c r="X40" s="1120"/>
      <c r="Y40" s="1008">
        <f t="shared" si="33"/>
        <v>10000000</v>
      </c>
      <c r="Z40" s="1008"/>
      <c r="AA40" s="1008"/>
      <c r="AB40" s="1008"/>
      <c r="AC40" s="1008"/>
      <c r="AD40" s="1008"/>
      <c r="AE40" s="1008">
        <v>10000000</v>
      </c>
      <c r="AF40" s="1008"/>
      <c r="AG40" s="1008"/>
      <c r="AH40" s="1008"/>
      <c r="AI40" s="1008"/>
      <c r="AJ40" s="1008"/>
      <c r="AK40" s="1008"/>
      <c r="AL40" s="1008"/>
      <c r="AM40" s="1008"/>
      <c r="AN40" s="1008"/>
      <c r="AO40" s="1008"/>
      <c r="AP40" s="1008"/>
      <c r="AQ40" s="1008"/>
      <c r="AR40" s="1008"/>
      <c r="AS40" s="1008"/>
      <c r="AU40" s="1011">
        <f t="shared" si="3"/>
        <v>1</v>
      </c>
      <c r="AV40" s="1008">
        <f t="shared" si="34"/>
        <v>10000000</v>
      </c>
      <c r="AW40" s="1008"/>
      <c r="AX40" s="1008"/>
      <c r="AY40" s="1008"/>
      <c r="AZ40" s="1008"/>
      <c r="BA40" s="1008"/>
      <c r="BB40" s="1008">
        <f>+'[9]FEBRERO 2015'!$N$501</f>
        <v>10000000</v>
      </c>
      <c r="BC40" s="1008"/>
      <c r="BD40" s="1008"/>
      <c r="BE40" s="1008"/>
      <c r="BF40" s="1008"/>
      <c r="BG40" s="1008"/>
      <c r="BH40" s="1008"/>
      <c r="BI40" s="1008"/>
      <c r="BJ40" s="1008"/>
      <c r="BK40" s="1008"/>
      <c r="BL40" s="1008"/>
      <c r="BM40" s="1008"/>
      <c r="BN40" s="1008"/>
      <c r="BO40" s="1008"/>
      <c r="BP40" s="1008"/>
      <c r="BQ40" s="1011">
        <f t="shared" si="25"/>
        <v>0</v>
      </c>
      <c r="BR40" s="1008">
        <f t="shared" si="35"/>
        <v>0</v>
      </c>
      <c r="BS40" s="1008">
        <f t="shared" si="36"/>
        <v>0</v>
      </c>
      <c r="BT40" s="1008"/>
      <c r="BU40" s="1008">
        <f t="shared" si="37"/>
        <v>0</v>
      </c>
      <c r="BV40" s="1008">
        <f t="shared" si="37"/>
        <v>0</v>
      </c>
      <c r="BW40" s="1008"/>
      <c r="BX40" s="1008">
        <f t="shared" si="38"/>
        <v>0</v>
      </c>
      <c r="BY40" s="1008">
        <f t="shared" si="38"/>
        <v>0</v>
      </c>
      <c r="BZ40" s="1008"/>
      <c r="CA40" s="1008">
        <f>+AH40-BE40</f>
        <v>0</v>
      </c>
      <c r="CB40" s="1008">
        <f t="shared" si="39"/>
        <v>0</v>
      </c>
      <c r="CC40" s="1008">
        <f>+AJ40-BG40</f>
        <v>0</v>
      </c>
      <c r="CD40" s="1008">
        <f t="shared" si="40"/>
        <v>0</v>
      </c>
      <c r="CE40" s="1008">
        <f t="shared" si="40"/>
        <v>0</v>
      </c>
      <c r="CF40" s="1008">
        <f t="shared" si="40"/>
        <v>0</v>
      </c>
      <c r="CG40" s="1008">
        <f t="shared" si="40"/>
        <v>0</v>
      </c>
      <c r="CH40" s="1008">
        <f t="shared" si="40"/>
        <v>0</v>
      </c>
      <c r="CI40" s="1008">
        <f t="shared" si="40"/>
        <v>0</v>
      </c>
      <c r="CJ40" s="1008"/>
      <c r="CK40" s="1008"/>
      <c r="CL40" s="1008">
        <f t="shared" si="41"/>
        <v>0</v>
      </c>
      <c r="CM40" s="1011">
        <f t="shared" si="13"/>
        <v>0.10639999999999999</v>
      </c>
      <c r="CN40" s="1008">
        <f t="shared" si="42"/>
        <v>1064000</v>
      </c>
      <c r="CO40" s="1008"/>
      <c r="CP40" s="1008"/>
      <c r="CQ40" s="1008"/>
      <c r="CR40" s="1008"/>
      <c r="CS40" s="1008"/>
      <c r="CT40" s="1008">
        <f>+'[16]AGOSTO 2015'!$H$1265</f>
        <v>1064000</v>
      </c>
      <c r="CU40" s="1008"/>
      <c r="CV40" s="1008"/>
      <c r="CW40" s="1008"/>
      <c r="CX40" s="1008"/>
      <c r="CY40" s="1008"/>
      <c r="CZ40" s="1008"/>
      <c r="DA40" s="1008"/>
      <c r="DB40" s="1008"/>
      <c r="DC40" s="1008"/>
      <c r="DD40" s="1008"/>
      <c r="DE40" s="1008"/>
      <c r="DF40" s="1008"/>
      <c r="DG40" s="1008"/>
      <c r="DH40" s="1008"/>
      <c r="DI40" s="1011">
        <f t="shared" si="15"/>
        <v>0.89359999999999995</v>
      </c>
      <c r="DJ40" s="1008">
        <f t="shared" si="43"/>
        <v>8936000</v>
      </c>
      <c r="DK40" s="1008"/>
      <c r="DL40" s="1008"/>
      <c r="DM40" s="1008"/>
      <c r="DN40" s="1008"/>
      <c r="DO40" s="1008"/>
      <c r="DP40" s="1008">
        <f t="shared" si="45"/>
        <v>8936000</v>
      </c>
      <c r="DQ40" s="1008">
        <f t="shared" si="45"/>
        <v>0</v>
      </c>
      <c r="DR40" s="1008"/>
      <c r="DS40" s="1008">
        <f t="shared" si="46"/>
        <v>0</v>
      </c>
      <c r="DT40" s="1008">
        <f t="shared" si="46"/>
        <v>0</v>
      </c>
      <c r="DU40" s="1008"/>
      <c r="DV40" s="1008">
        <f t="shared" si="47"/>
        <v>0</v>
      </c>
      <c r="DW40" s="1008">
        <f t="shared" si="47"/>
        <v>0</v>
      </c>
      <c r="DX40" s="1008">
        <f t="shared" si="47"/>
        <v>0</v>
      </c>
      <c r="DY40" s="1008">
        <f t="shared" si="48"/>
        <v>0</v>
      </c>
      <c r="DZ40" s="1008">
        <f t="shared" si="48"/>
        <v>0</v>
      </c>
      <c r="EA40" s="1008">
        <f t="shared" si="48"/>
        <v>0</v>
      </c>
      <c r="EB40" s="1008">
        <f t="shared" si="48"/>
        <v>0</v>
      </c>
      <c r="EC40" s="1008"/>
      <c r="ED40" s="1008">
        <f t="shared" si="49"/>
        <v>0</v>
      </c>
    </row>
    <row r="41" spans="1:134" ht="48.75" hidden="1" customHeight="1" x14ac:dyDescent="0.25">
      <c r="A41" s="1562"/>
      <c r="B41" s="1019"/>
      <c r="C41" s="1116" t="s">
        <v>4372</v>
      </c>
      <c r="D41" s="1019" t="s">
        <v>4607</v>
      </c>
      <c r="E41" s="1020">
        <v>410</v>
      </c>
      <c r="F41" s="1120" t="s">
        <v>3350</v>
      </c>
      <c r="G41" s="1400"/>
      <c r="H41" s="1061">
        <f t="shared" si="31"/>
        <v>6500000</v>
      </c>
      <c r="I41" s="1061">
        <f t="shared" si="32"/>
        <v>3500000</v>
      </c>
      <c r="J41" s="1120" t="s">
        <v>4796</v>
      </c>
      <c r="K41" s="1115" t="s">
        <v>4797</v>
      </c>
      <c r="L41" s="1115" t="s">
        <v>4798</v>
      </c>
      <c r="M41" s="1115">
        <v>5</v>
      </c>
      <c r="N41" s="1115">
        <v>0</v>
      </c>
      <c r="O41" s="1115">
        <v>0</v>
      </c>
      <c r="P41" s="1115">
        <v>16</v>
      </c>
      <c r="Q41" s="1115">
        <v>0</v>
      </c>
      <c r="R41" s="1115">
        <v>0</v>
      </c>
      <c r="S41" s="1120"/>
      <c r="T41" s="1120"/>
      <c r="U41" s="1120"/>
      <c r="V41" s="1120"/>
      <c r="W41" s="1120"/>
      <c r="X41" s="1120"/>
      <c r="Y41" s="1008">
        <f t="shared" si="33"/>
        <v>10000000</v>
      </c>
      <c r="Z41" s="1008"/>
      <c r="AA41" s="1008"/>
      <c r="AB41" s="1008"/>
      <c r="AC41" s="1008"/>
      <c r="AD41" s="1008"/>
      <c r="AE41" s="1008">
        <f>30000000-20000000</f>
        <v>10000000</v>
      </c>
      <c r="AF41" s="1008"/>
      <c r="AG41" s="1008"/>
      <c r="AH41" s="1008"/>
      <c r="AI41" s="1008"/>
      <c r="AJ41" s="1008"/>
      <c r="AK41" s="1008"/>
      <c r="AL41" s="1008"/>
      <c r="AM41" s="1008"/>
      <c r="AN41" s="1008"/>
      <c r="AO41" s="1008"/>
      <c r="AP41" s="1008"/>
      <c r="AQ41" s="1008"/>
      <c r="AR41" s="1008"/>
      <c r="AS41" s="1008"/>
      <c r="AU41" s="1011">
        <f t="shared" si="3"/>
        <v>1</v>
      </c>
      <c r="AV41" s="1008">
        <f t="shared" si="34"/>
        <v>10000000</v>
      </c>
      <c r="AW41" s="1008"/>
      <c r="AX41" s="1008"/>
      <c r="AY41" s="1008"/>
      <c r="AZ41" s="1008"/>
      <c r="BA41" s="1008"/>
      <c r="BB41" s="1008">
        <f>+'[14]JUNIO 2015'!$O$956</f>
        <v>10000000</v>
      </c>
      <c r="BC41" s="1008"/>
      <c r="BD41" s="1008"/>
      <c r="BE41" s="1008"/>
      <c r="BF41" s="1008"/>
      <c r="BG41" s="1008"/>
      <c r="BH41" s="1008"/>
      <c r="BI41" s="1008"/>
      <c r="BJ41" s="1008"/>
      <c r="BK41" s="1008"/>
      <c r="BL41" s="1008"/>
      <c r="BM41" s="1008"/>
      <c r="BN41" s="1008"/>
      <c r="BO41" s="1008"/>
      <c r="BP41" s="1008"/>
      <c r="BQ41" s="1011">
        <f t="shared" si="25"/>
        <v>0</v>
      </c>
      <c r="BR41" s="1008">
        <f t="shared" si="35"/>
        <v>0</v>
      </c>
      <c r="BS41" s="1008">
        <f t="shared" si="36"/>
        <v>0</v>
      </c>
      <c r="BT41" s="1008"/>
      <c r="BU41" s="1008">
        <f t="shared" si="37"/>
        <v>0</v>
      </c>
      <c r="BV41" s="1008">
        <f t="shared" si="37"/>
        <v>0</v>
      </c>
      <c r="BW41" s="1008"/>
      <c r="BX41" s="1008">
        <f t="shared" si="38"/>
        <v>0</v>
      </c>
      <c r="BY41" s="1008">
        <f t="shared" si="38"/>
        <v>0</v>
      </c>
      <c r="BZ41" s="1008"/>
      <c r="CA41" s="1008">
        <f>+AH41-BE41</f>
        <v>0</v>
      </c>
      <c r="CB41" s="1008">
        <f t="shared" si="39"/>
        <v>0</v>
      </c>
      <c r="CC41" s="1008">
        <f>+AJ41-BG41</f>
        <v>0</v>
      </c>
      <c r="CD41" s="1008">
        <f t="shared" si="40"/>
        <v>0</v>
      </c>
      <c r="CE41" s="1008">
        <f t="shared" si="40"/>
        <v>0</v>
      </c>
      <c r="CF41" s="1008">
        <f t="shared" si="40"/>
        <v>0</v>
      </c>
      <c r="CG41" s="1008">
        <f t="shared" si="40"/>
        <v>0</v>
      </c>
      <c r="CH41" s="1008">
        <f t="shared" si="40"/>
        <v>0</v>
      </c>
      <c r="CI41" s="1008">
        <f t="shared" si="40"/>
        <v>0</v>
      </c>
      <c r="CJ41" s="1008"/>
      <c r="CK41" s="1008"/>
      <c r="CL41" s="1008">
        <f t="shared" si="41"/>
        <v>0</v>
      </c>
      <c r="CM41" s="1011">
        <f t="shared" si="13"/>
        <v>0.65</v>
      </c>
      <c r="CN41" s="1008">
        <f t="shared" si="42"/>
        <v>6500000</v>
      </c>
      <c r="CO41" s="1008"/>
      <c r="CP41" s="1008"/>
      <c r="CQ41" s="1008"/>
      <c r="CR41" s="1008"/>
      <c r="CS41" s="1008"/>
      <c r="CT41" s="1008">
        <f>+'[15]JULIO 2015'!$H$1127</f>
        <v>6500000</v>
      </c>
      <c r="CU41" s="1008"/>
      <c r="CV41" s="1008"/>
      <c r="CW41" s="1008"/>
      <c r="CX41" s="1008"/>
      <c r="CY41" s="1008"/>
      <c r="CZ41" s="1008"/>
      <c r="DA41" s="1008"/>
      <c r="DB41" s="1008"/>
      <c r="DC41" s="1008"/>
      <c r="DD41" s="1008"/>
      <c r="DE41" s="1008"/>
      <c r="DF41" s="1008"/>
      <c r="DG41" s="1008"/>
      <c r="DH41" s="1008"/>
      <c r="DI41" s="1011">
        <f t="shared" si="15"/>
        <v>0.35</v>
      </c>
      <c r="DJ41" s="1008">
        <f t="shared" si="43"/>
        <v>3500000</v>
      </c>
      <c r="DK41" s="1008"/>
      <c r="DL41" s="1008"/>
      <c r="DM41" s="1008"/>
      <c r="DN41" s="1008"/>
      <c r="DO41" s="1008"/>
      <c r="DP41" s="1008">
        <f t="shared" si="45"/>
        <v>3500000</v>
      </c>
      <c r="DQ41" s="1008">
        <f t="shared" si="45"/>
        <v>0</v>
      </c>
      <c r="DR41" s="1008"/>
      <c r="DS41" s="1008">
        <f t="shared" si="46"/>
        <v>0</v>
      </c>
      <c r="DT41" s="1008">
        <f t="shared" si="46"/>
        <v>0</v>
      </c>
      <c r="DU41" s="1008"/>
      <c r="DV41" s="1008">
        <f t="shared" si="47"/>
        <v>0</v>
      </c>
      <c r="DW41" s="1008">
        <f t="shared" si="47"/>
        <v>0</v>
      </c>
      <c r="DX41" s="1008">
        <f t="shared" si="47"/>
        <v>0</v>
      </c>
      <c r="DY41" s="1008">
        <f t="shared" si="48"/>
        <v>0</v>
      </c>
      <c r="DZ41" s="1008">
        <f t="shared" si="48"/>
        <v>0</v>
      </c>
      <c r="EA41" s="1008">
        <f t="shared" si="48"/>
        <v>0</v>
      </c>
      <c r="EB41" s="1008">
        <f t="shared" si="48"/>
        <v>0</v>
      </c>
      <c r="EC41" s="1008"/>
      <c r="ED41" s="1008">
        <f t="shared" si="49"/>
        <v>0</v>
      </c>
    </row>
    <row r="42" spans="1:134" ht="31.5" hidden="1" customHeight="1" x14ac:dyDescent="0.25">
      <c r="A42" s="1562"/>
      <c r="B42" s="1019"/>
      <c r="C42" s="1116" t="s">
        <v>4373</v>
      </c>
      <c r="D42" s="1019" t="s">
        <v>4606</v>
      </c>
      <c r="E42" s="1020">
        <v>410</v>
      </c>
      <c r="F42" s="1120" t="s">
        <v>4731</v>
      </c>
      <c r="G42" s="1400"/>
      <c r="H42" s="1061">
        <f t="shared" si="31"/>
        <v>46027628</v>
      </c>
      <c r="I42" s="1061">
        <f t="shared" si="32"/>
        <v>14949435</v>
      </c>
      <c r="J42" s="1120" t="s">
        <v>4799</v>
      </c>
      <c r="K42" s="1115" t="s">
        <v>4800</v>
      </c>
      <c r="L42" s="1115" t="s">
        <v>4801</v>
      </c>
      <c r="M42" s="1115">
        <v>0</v>
      </c>
      <c r="N42" s="1115">
        <v>0</v>
      </c>
      <c r="O42" s="1115">
        <v>0</v>
      </c>
      <c r="P42" s="1115">
        <v>3</v>
      </c>
      <c r="Q42" s="1115">
        <v>0</v>
      </c>
      <c r="R42" s="1115">
        <v>0</v>
      </c>
      <c r="S42" s="1120"/>
      <c r="T42" s="1120"/>
      <c r="U42" s="1120"/>
      <c r="V42" s="1120"/>
      <c r="W42" s="1120"/>
      <c r="X42" s="1120"/>
      <c r="Y42" s="1008">
        <f t="shared" si="33"/>
        <v>60977063</v>
      </c>
      <c r="Z42" s="1008"/>
      <c r="AA42" s="1008"/>
      <c r="AB42" s="1008"/>
      <c r="AC42" s="1008"/>
      <c r="AD42" s="1008"/>
      <c r="AE42" s="1008">
        <f>50000000+10000000</f>
        <v>60000000</v>
      </c>
      <c r="AF42" s="1008"/>
      <c r="AG42" s="1008"/>
      <c r="AH42" s="1008"/>
      <c r="AI42" s="1008"/>
      <c r="AJ42" s="1008"/>
      <c r="AK42" s="1008"/>
      <c r="AL42" s="1008"/>
      <c r="AM42" s="1008"/>
      <c r="AN42" s="1008"/>
      <c r="AO42" s="1008"/>
      <c r="AP42" s="1008"/>
      <c r="AQ42" s="1008"/>
      <c r="AR42" s="1008"/>
      <c r="AS42" s="1008">
        <v>977063</v>
      </c>
      <c r="AU42" s="1011">
        <f t="shared" si="3"/>
        <v>0.91837811211077847</v>
      </c>
      <c r="AV42" s="1008">
        <f t="shared" si="34"/>
        <v>56000000</v>
      </c>
      <c r="AW42" s="1008"/>
      <c r="AX42" s="1008"/>
      <c r="AY42" s="1008"/>
      <c r="AZ42" s="1008"/>
      <c r="BA42" s="1008"/>
      <c r="BB42" s="1008">
        <f>+'[18]OCTUBRE 2015'!$O$1641</f>
        <v>56000000</v>
      </c>
      <c r="BC42" s="1008"/>
      <c r="BD42" s="1008"/>
      <c r="BE42" s="1008"/>
      <c r="BF42" s="1008"/>
      <c r="BG42" s="1008"/>
      <c r="BH42" s="1008"/>
      <c r="BI42" s="1008"/>
      <c r="BJ42" s="1008"/>
      <c r="BK42" s="1008"/>
      <c r="BL42" s="1008"/>
      <c r="BM42" s="1008"/>
      <c r="BN42" s="1008"/>
      <c r="BO42" s="1008"/>
      <c r="BP42" s="1008"/>
      <c r="BQ42" s="1011">
        <f t="shared" si="25"/>
        <v>8.1621887889221534E-2</v>
      </c>
      <c r="BR42" s="1008">
        <f t="shared" si="35"/>
        <v>4977063</v>
      </c>
      <c r="BS42" s="1008">
        <f t="shared" si="36"/>
        <v>0</v>
      </c>
      <c r="BT42" s="1008"/>
      <c r="BU42" s="1008">
        <f t="shared" si="37"/>
        <v>0</v>
      </c>
      <c r="BV42" s="1008">
        <f t="shared" si="37"/>
        <v>0</v>
      </c>
      <c r="BW42" s="1008"/>
      <c r="BX42" s="1008">
        <f t="shared" si="38"/>
        <v>4000000</v>
      </c>
      <c r="BY42" s="1008">
        <f t="shared" si="38"/>
        <v>0</v>
      </c>
      <c r="BZ42" s="1008"/>
      <c r="CA42" s="1008">
        <f>+AH42-BE42</f>
        <v>0</v>
      </c>
      <c r="CB42" s="1008">
        <f t="shared" si="39"/>
        <v>0</v>
      </c>
      <c r="CC42" s="1008">
        <f>+AJ42-BG42</f>
        <v>0</v>
      </c>
      <c r="CD42" s="1008">
        <f t="shared" si="40"/>
        <v>0</v>
      </c>
      <c r="CE42" s="1008">
        <f t="shared" si="40"/>
        <v>0</v>
      </c>
      <c r="CF42" s="1008">
        <f t="shared" si="40"/>
        <v>0</v>
      </c>
      <c r="CG42" s="1008">
        <f t="shared" si="40"/>
        <v>0</v>
      </c>
      <c r="CH42" s="1008">
        <f t="shared" si="40"/>
        <v>0</v>
      </c>
      <c r="CI42" s="1008">
        <f t="shared" si="40"/>
        <v>0</v>
      </c>
      <c r="CJ42" s="1008"/>
      <c r="CK42" s="1008"/>
      <c r="CL42" s="1008">
        <f t="shared" si="41"/>
        <v>977063</v>
      </c>
      <c r="CM42" s="1011">
        <f t="shared" si="13"/>
        <v>0.75483510906387863</v>
      </c>
      <c r="CN42" s="1008">
        <f t="shared" si="42"/>
        <v>46027628</v>
      </c>
      <c r="CO42" s="1008"/>
      <c r="CP42" s="1008"/>
      <c r="CQ42" s="1008"/>
      <c r="CR42" s="1008"/>
      <c r="CS42" s="1008"/>
      <c r="CT42" s="1008">
        <f>+'[18]OCTUBRE 2015'!$H$1639</f>
        <v>46027628</v>
      </c>
      <c r="CU42" s="1008"/>
      <c r="CV42" s="1008"/>
      <c r="CW42" s="1008"/>
      <c r="CX42" s="1008"/>
      <c r="CY42" s="1008"/>
      <c r="CZ42" s="1008"/>
      <c r="DA42" s="1008"/>
      <c r="DB42" s="1008"/>
      <c r="DC42" s="1008"/>
      <c r="DD42" s="1008"/>
      <c r="DE42" s="1008"/>
      <c r="DF42" s="1008"/>
      <c r="DG42" s="1008"/>
      <c r="DH42" s="1008"/>
      <c r="DI42" s="1011">
        <f t="shared" si="15"/>
        <v>0.24516489093612137</v>
      </c>
      <c r="DJ42" s="1008">
        <f t="shared" si="43"/>
        <v>14949435</v>
      </c>
      <c r="DK42" s="1008"/>
      <c r="DL42" s="1008"/>
      <c r="DM42" s="1008"/>
      <c r="DN42" s="1008"/>
      <c r="DO42" s="1008"/>
      <c r="DP42" s="1008">
        <f t="shared" si="45"/>
        <v>13972372</v>
      </c>
      <c r="DQ42" s="1008">
        <f t="shared" si="45"/>
        <v>0</v>
      </c>
      <c r="DR42" s="1008"/>
      <c r="DS42" s="1008">
        <f t="shared" si="46"/>
        <v>0</v>
      </c>
      <c r="DT42" s="1008">
        <f t="shared" si="46"/>
        <v>0</v>
      </c>
      <c r="DU42" s="1008"/>
      <c r="DV42" s="1008">
        <f t="shared" si="47"/>
        <v>0</v>
      </c>
      <c r="DW42" s="1008">
        <f t="shared" si="47"/>
        <v>0</v>
      </c>
      <c r="DX42" s="1008">
        <f t="shared" si="47"/>
        <v>0</v>
      </c>
      <c r="DY42" s="1008">
        <f t="shared" si="48"/>
        <v>0</v>
      </c>
      <c r="DZ42" s="1008">
        <f t="shared" si="48"/>
        <v>0</v>
      </c>
      <c r="EA42" s="1008">
        <f t="shared" si="48"/>
        <v>0</v>
      </c>
      <c r="EB42" s="1008">
        <f t="shared" si="48"/>
        <v>0</v>
      </c>
      <c r="EC42" s="1008"/>
      <c r="ED42" s="1008">
        <f t="shared" si="49"/>
        <v>977063</v>
      </c>
    </row>
    <row r="43" spans="1:134" ht="46.5" hidden="1" customHeight="1" x14ac:dyDescent="0.25">
      <c r="A43" s="1562"/>
      <c r="B43" s="1019"/>
      <c r="C43" s="1116" t="s">
        <v>4374</v>
      </c>
      <c r="D43" s="1019" t="s">
        <v>4605</v>
      </c>
      <c r="E43" s="1020">
        <v>410</v>
      </c>
      <c r="F43" s="1120" t="s">
        <v>3350</v>
      </c>
      <c r="G43" s="1401"/>
      <c r="H43" s="1061">
        <f t="shared" si="31"/>
        <v>69890000</v>
      </c>
      <c r="I43" s="1061">
        <f t="shared" si="32"/>
        <v>110000</v>
      </c>
      <c r="J43" s="1120" t="s">
        <v>4802</v>
      </c>
      <c r="K43" s="1115" t="s">
        <v>4804</v>
      </c>
      <c r="L43" s="1115" t="s">
        <v>4803</v>
      </c>
      <c r="M43" s="1115">
        <v>31</v>
      </c>
      <c r="N43" s="1115">
        <v>95</v>
      </c>
      <c r="O43" s="1115">
        <v>30</v>
      </c>
      <c r="P43" s="1115">
        <v>71</v>
      </c>
      <c r="Q43" s="1115">
        <v>585</v>
      </c>
      <c r="R43" s="1115">
        <v>414</v>
      </c>
      <c r="S43" s="1120"/>
      <c r="T43" s="1120"/>
      <c r="U43" s="1120"/>
      <c r="V43" s="1120"/>
      <c r="W43" s="1120"/>
      <c r="X43" s="1120"/>
      <c r="Y43" s="1008">
        <f t="shared" si="33"/>
        <v>70000000</v>
      </c>
      <c r="Z43" s="1008"/>
      <c r="AA43" s="1008"/>
      <c r="AB43" s="1008"/>
      <c r="AC43" s="1008"/>
      <c r="AD43" s="1008"/>
      <c r="AE43" s="1008">
        <f>50000000+20000000</f>
        <v>70000000</v>
      </c>
      <c r="AF43" s="1008"/>
      <c r="AG43" s="1008"/>
      <c r="AH43" s="1008"/>
      <c r="AI43" s="1008"/>
      <c r="AJ43" s="1008"/>
      <c r="AK43" s="1008"/>
      <c r="AL43" s="1008"/>
      <c r="AM43" s="1008"/>
      <c r="AN43" s="1008"/>
      <c r="AO43" s="1008"/>
      <c r="AP43" s="1008"/>
      <c r="AQ43" s="1008"/>
      <c r="AR43" s="1008"/>
      <c r="AS43" s="1008"/>
      <c r="AU43" s="1011">
        <f t="shared" si="3"/>
        <v>0.99842857142857144</v>
      </c>
      <c r="AV43" s="1008">
        <f t="shared" si="34"/>
        <v>69890000</v>
      </c>
      <c r="AW43" s="1008"/>
      <c r="AX43" s="1008"/>
      <c r="AY43" s="1008"/>
      <c r="AZ43" s="1008"/>
      <c r="BA43" s="1008"/>
      <c r="BB43" s="1008">
        <f>+'[18]OCTUBRE 2015'!$O$1664</f>
        <v>69890000</v>
      </c>
      <c r="BC43" s="1008"/>
      <c r="BD43" s="1008"/>
      <c r="BE43" s="1008"/>
      <c r="BF43" s="1008"/>
      <c r="BG43" s="1008"/>
      <c r="BH43" s="1008"/>
      <c r="BI43" s="1008"/>
      <c r="BJ43" s="1008"/>
      <c r="BK43" s="1008"/>
      <c r="BL43" s="1008"/>
      <c r="BM43" s="1008"/>
      <c r="BN43" s="1008"/>
      <c r="BO43" s="1008"/>
      <c r="BP43" s="1008"/>
      <c r="BQ43" s="1011">
        <f t="shared" si="25"/>
        <v>1.571428571428557E-3</v>
      </c>
      <c r="BR43" s="1008">
        <f t="shared" si="35"/>
        <v>110000</v>
      </c>
      <c r="BS43" s="1008">
        <f t="shared" si="36"/>
        <v>0</v>
      </c>
      <c r="BT43" s="1008"/>
      <c r="BU43" s="1008">
        <f t="shared" si="37"/>
        <v>0</v>
      </c>
      <c r="BV43" s="1008">
        <f t="shared" si="37"/>
        <v>0</v>
      </c>
      <c r="BW43" s="1008"/>
      <c r="BX43" s="1008">
        <f t="shared" si="38"/>
        <v>110000</v>
      </c>
      <c r="BY43" s="1008">
        <f t="shared" si="38"/>
        <v>0</v>
      </c>
      <c r="BZ43" s="1008"/>
      <c r="CA43" s="1008"/>
      <c r="CB43" s="1008"/>
      <c r="CC43" s="1008"/>
      <c r="CD43" s="1008">
        <f t="shared" si="40"/>
        <v>0</v>
      </c>
      <c r="CE43" s="1008">
        <f t="shared" si="40"/>
        <v>0</v>
      </c>
      <c r="CF43" s="1008">
        <f t="shared" si="40"/>
        <v>0</v>
      </c>
      <c r="CG43" s="1008">
        <f t="shared" si="40"/>
        <v>0</v>
      </c>
      <c r="CH43" s="1008">
        <f t="shared" si="40"/>
        <v>0</v>
      </c>
      <c r="CI43" s="1008">
        <f t="shared" si="40"/>
        <v>0</v>
      </c>
      <c r="CJ43" s="1008"/>
      <c r="CK43" s="1008"/>
      <c r="CL43" s="1008">
        <f t="shared" si="41"/>
        <v>0</v>
      </c>
      <c r="CM43" s="1011">
        <f t="shared" si="13"/>
        <v>0.99842857142857144</v>
      </c>
      <c r="CN43" s="1008">
        <f t="shared" si="42"/>
        <v>69890000</v>
      </c>
      <c r="CO43" s="1008"/>
      <c r="CP43" s="1008"/>
      <c r="CQ43" s="1008"/>
      <c r="CR43" s="1008"/>
      <c r="CS43" s="1008"/>
      <c r="CT43" s="1008">
        <f>+'[18]OCTUBRE 2015'!$H$1662</f>
        <v>69890000</v>
      </c>
      <c r="CU43" s="1008"/>
      <c r="CV43" s="1008"/>
      <c r="CW43" s="1008"/>
      <c r="CX43" s="1008"/>
      <c r="CY43" s="1008"/>
      <c r="CZ43" s="1008"/>
      <c r="DA43" s="1008"/>
      <c r="DB43" s="1008"/>
      <c r="DC43" s="1008"/>
      <c r="DD43" s="1008"/>
      <c r="DE43" s="1008"/>
      <c r="DF43" s="1008"/>
      <c r="DG43" s="1008"/>
      <c r="DH43" s="1008"/>
      <c r="DI43" s="1011">
        <f t="shared" si="15"/>
        <v>1.571428571428557E-3</v>
      </c>
      <c r="DJ43" s="1008">
        <f t="shared" si="43"/>
        <v>110000</v>
      </c>
      <c r="DK43" s="1008"/>
      <c r="DL43" s="1008"/>
      <c r="DM43" s="1008"/>
      <c r="DN43" s="1008"/>
      <c r="DO43" s="1008"/>
      <c r="DP43" s="1008">
        <f t="shared" si="45"/>
        <v>110000</v>
      </c>
      <c r="DQ43" s="1008">
        <f t="shared" si="45"/>
        <v>0</v>
      </c>
      <c r="DR43" s="1008"/>
      <c r="DS43" s="1008">
        <f t="shared" si="46"/>
        <v>0</v>
      </c>
      <c r="DT43" s="1008">
        <f t="shared" si="46"/>
        <v>0</v>
      </c>
      <c r="DU43" s="1008"/>
      <c r="DV43" s="1008">
        <f t="shared" si="47"/>
        <v>0</v>
      </c>
      <c r="DW43" s="1008">
        <f t="shared" si="47"/>
        <v>0</v>
      </c>
      <c r="DX43" s="1008">
        <f t="shared" si="47"/>
        <v>0</v>
      </c>
      <c r="DY43" s="1008">
        <f t="shared" si="48"/>
        <v>0</v>
      </c>
      <c r="DZ43" s="1008">
        <f t="shared" si="48"/>
        <v>0</v>
      </c>
      <c r="EA43" s="1008">
        <f t="shared" si="48"/>
        <v>0</v>
      </c>
      <c r="EB43" s="1008">
        <f t="shared" si="48"/>
        <v>0</v>
      </c>
      <c r="EC43" s="1008"/>
      <c r="ED43" s="1008">
        <f t="shared" si="49"/>
        <v>0</v>
      </c>
    </row>
    <row r="44" spans="1:134" ht="39" hidden="1" customHeight="1" x14ac:dyDescent="0.25">
      <c r="A44" s="1562"/>
      <c r="B44" s="1028" t="s">
        <v>4309</v>
      </c>
      <c r="C44" s="1116" t="s">
        <v>4376</v>
      </c>
      <c r="D44" s="1019" t="s">
        <v>4320</v>
      </c>
      <c r="E44" s="1133">
        <v>410</v>
      </c>
      <c r="F44" s="1120" t="s">
        <v>3350</v>
      </c>
      <c r="G44" s="1399">
        <v>303000000</v>
      </c>
      <c r="H44" s="1061">
        <f t="shared" si="31"/>
        <v>42007546</v>
      </c>
      <c r="I44" s="1061">
        <f t="shared" si="32"/>
        <v>12415125</v>
      </c>
      <c r="J44" s="1120" t="s">
        <v>4805</v>
      </c>
      <c r="K44" s="1115" t="s">
        <v>4806</v>
      </c>
      <c r="L44" s="1115" t="s">
        <v>4815</v>
      </c>
      <c r="M44" s="1115">
        <v>0</v>
      </c>
      <c r="N44" s="1115">
        <v>21</v>
      </c>
      <c r="O44" s="1115">
        <v>0</v>
      </c>
      <c r="P44" s="1115">
        <v>18</v>
      </c>
      <c r="Q44" s="1115">
        <v>25</v>
      </c>
      <c r="R44" s="1115">
        <v>4</v>
      </c>
      <c r="S44" s="1120"/>
      <c r="T44" s="1120"/>
      <c r="U44" s="1120"/>
      <c r="V44" s="1120"/>
      <c r="W44" s="1120"/>
      <c r="X44" s="1120"/>
      <c r="Y44" s="1008">
        <f t="shared" si="33"/>
        <v>54422671</v>
      </c>
      <c r="Z44" s="1008"/>
      <c r="AA44" s="1008">
        <f>80000000-69189100</f>
        <v>10810900</v>
      </c>
      <c r="AB44" s="1008"/>
      <c r="AC44" s="1008"/>
      <c r="AD44" s="1008"/>
      <c r="AE44" s="1008"/>
      <c r="AF44" s="1008">
        <f>20000000</f>
        <v>20000000</v>
      </c>
      <c r="AG44" s="1008"/>
      <c r="AH44" s="1008"/>
      <c r="AI44" s="1008"/>
      <c r="AJ44" s="1008"/>
      <c r="AK44" s="1008"/>
      <c r="AL44" s="1008"/>
      <c r="AM44" s="1008"/>
      <c r="AN44" s="1008"/>
      <c r="AO44" s="1008">
        <v>23611771</v>
      </c>
      <c r="AP44" s="1008"/>
      <c r="AQ44" s="1008"/>
      <c r="AR44" s="1008"/>
      <c r="AS44" s="1008"/>
      <c r="AU44" s="1011">
        <f t="shared" si="3"/>
        <v>0.97676078779742359</v>
      </c>
      <c r="AV44" s="1008">
        <f t="shared" si="34"/>
        <v>53157931</v>
      </c>
      <c r="AW44" s="1008"/>
      <c r="AX44" s="1008">
        <f>+'[14]JUNIO 2015'!$K$1009</f>
        <v>9546220</v>
      </c>
      <c r="AY44" s="1008"/>
      <c r="AZ44" s="1008"/>
      <c r="BA44" s="1008"/>
      <c r="BB44" s="1008"/>
      <c r="BC44" s="1008">
        <f>+'[14]JUNIO 2015'!$P$1009</f>
        <v>20000000</v>
      </c>
      <c r="BD44" s="1008"/>
      <c r="BE44" s="1008"/>
      <c r="BF44" s="1008"/>
      <c r="BG44" s="1008"/>
      <c r="BH44" s="1008"/>
      <c r="BI44" s="1008"/>
      <c r="BJ44" s="1008"/>
      <c r="BK44" s="1008"/>
      <c r="BL44" s="1008">
        <f>+'[15]JULIO 2015'!$Y$1192</f>
        <v>23611711</v>
      </c>
      <c r="BM44" s="1008"/>
      <c r="BN44" s="1008"/>
      <c r="BO44" s="1008"/>
      <c r="BP44" s="1008"/>
      <c r="BQ44" s="1011">
        <f t="shared" si="25"/>
        <v>2.3239212202576409E-2</v>
      </c>
      <c r="BR44" s="1008">
        <f t="shared" si="35"/>
        <v>1264740</v>
      </c>
      <c r="BS44" s="1008">
        <f t="shared" si="36"/>
        <v>0</v>
      </c>
      <c r="BT44" s="1008">
        <f>AA44-AX44</f>
        <v>1264680</v>
      </c>
      <c r="BU44" s="1008">
        <f t="shared" si="37"/>
        <v>0</v>
      </c>
      <c r="BV44" s="1008">
        <f t="shared" si="37"/>
        <v>0</v>
      </c>
      <c r="BW44" s="1008"/>
      <c r="BX44" s="1008">
        <f t="shared" si="38"/>
        <v>0</v>
      </c>
      <c r="BY44" s="1008">
        <f t="shared" si="38"/>
        <v>0</v>
      </c>
      <c r="BZ44" s="1008"/>
      <c r="CA44" s="1008">
        <f t="shared" ref="CA44:CC48" si="50">+AH44-BE44</f>
        <v>0</v>
      </c>
      <c r="CB44" s="1008">
        <f t="shared" si="50"/>
        <v>0</v>
      </c>
      <c r="CC44" s="1008">
        <f t="shared" si="50"/>
        <v>0</v>
      </c>
      <c r="CD44" s="1008">
        <f t="shared" si="40"/>
        <v>0</v>
      </c>
      <c r="CE44" s="1008">
        <f t="shared" si="40"/>
        <v>0</v>
      </c>
      <c r="CF44" s="1008">
        <f t="shared" si="40"/>
        <v>0</v>
      </c>
      <c r="CG44" s="1008">
        <f t="shared" si="40"/>
        <v>0</v>
      </c>
      <c r="CH44" s="1008">
        <f t="shared" si="40"/>
        <v>60</v>
      </c>
      <c r="CI44" s="1008">
        <f t="shared" si="40"/>
        <v>0</v>
      </c>
      <c r="CJ44" s="1008"/>
      <c r="CK44" s="1008"/>
      <c r="CL44" s="1008">
        <f t="shared" si="41"/>
        <v>0</v>
      </c>
      <c r="CM44" s="1011">
        <f t="shared" si="13"/>
        <v>0.77187586033768907</v>
      </c>
      <c r="CN44" s="1008">
        <f t="shared" si="42"/>
        <v>42007546</v>
      </c>
      <c r="CO44" s="1008"/>
      <c r="CP44" s="1008">
        <f>+'[14]JUNIO 2015'!$H$1010</f>
        <v>9546220</v>
      </c>
      <c r="CQ44" s="1008"/>
      <c r="CR44" s="1008"/>
      <c r="CS44" s="1008"/>
      <c r="CT44" s="1008"/>
      <c r="CU44" s="1008">
        <f>+'[18]OCTUBRE 2015'!$H$1729</f>
        <v>20000000</v>
      </c>
      <c r="CV44" s="1008"/>
      <c r="CW44" s="1008"/>
      <c r="CX44" s="1008"/>
      <c r="CY44" s="1008"/>
      <c r="CZ44" s="1008"/>
      <c r="DA44" s="1008"/>
      <c r="DB44" s="1008"/>
      <c r="DC44" s="1008"/>
      <c r="DD44" s="1008">
        <f>+'[18]OCTUBRE 2015'!$H$1742</f>
        <v>12461326</v>
      </c>
      <c r="DE44" s="1008"/>
      <c r="DF44" s="1008"/>
      <c r="DG44" s="1008"/>
      <c r="DH44" s="1008"/>
      <c r="DI44" s="1011">
        <f t="shared" si="15"/>
        <v>0.22812413966231093</v>
      </c>
      <c r="DJ44" s="1008">
        <f t="shared" si="43"/>
        <v>12415125</v>
      </c>
      <c r="DK44" s="1008"/>
      <c r="DL44" s="1008">
        <f t="shared" ref="DL44:DN58" si="51">AA44-CP44</f>
        <v>1264680</v>
      </c>
      <c r="DM44" s="1008">
        <f t="shared" si="51"/>
        <v>0</v>
      </c>
      <c r="DN44" s="1008">
        <f t="shared" si="51"/>
        <v>0</v>
      </c>
      <c r="DO44" s="1008"/>
      <c r="DP44" s="1008">
        <f t="shared" si="45"/>
        <v>0</v>
      </c>
      <c r="DQ44" s="1008">
        <f t="shared" si="45"/>
        <v>0</v>
      </c>
      <c r="DR44" s="1008"/>
      <c r="DS44" s="1008">
        <f t="shared" si="46"/>
        <v>0</v>
      </c>
      <c r="DT44" s="1008">
        <f t="shared" si="46"/>
        <v>0</v>
      </c>
      <c r="DU44" s="1008"/>
      <c r="DV44" s="1008">
        <f t="shared" si="47"/>
        <v>0</v>
      </c>
      <c r="DW44" s="1008">
        <f t="shared" si="47"/>
        <v>0</v>
      </c>
      <c r="DX44" s="1008">
        <f t="shared" si="47"/>
        <v>0</v>
      </c>
      <c r="DY44" s="1008">
        <f t="shared" si="48"/>
        <v>0</v>
      </c>
      <c r="DZ44" s="1008">
        <f t="shared" si="48"/>
        <v>11150445</v>
      </c>
      <c r="EA44" s="1008">
        <f t="shared" si="48"/>
        <v>0</v>
      </c>
      <c r="EB44" s="1008">
        <f t="shared" si="48"/>
        <v>0</v>
      </c>
      <c r="EC44" s="1008"/>
      <c r="ED44" s="1008">
        <f t="shared" si="49"/>
        <v>0</v>
      </c>
    </row>
    <row r="45" spans="1:134" ht="34.5" hidden="1" customHeight="1" x14ac:dyDescent="0.25">
      <c r="A45" s="1562"/>
      <c r="B45" s="1019"/>
      <c r="C45" s="1116" t="s">
        <v>4377</v>
      </c>
      <c r="D45" s="1131" t="s">
        <v>4321</v>
      </c>
      <c r="E45" s="1020">
        <v>410</v>
      </c>
      <c r="F45" s="1120" t="s">
        <v>3350</v>
      </c>
      <c r="G45" s="1400"/>
      <c r="H45" s="1061">
        <f t="shared" si="31"/>
        <v>38030965</v>
      </c>
      <c r="I45" s="1061">
        <f t="shared" si="32"/>
        <v>9050965</v>
      </c>
      <c r="J45" s="1120" t="s">
        <v>4807</v>
      </c>
      <c r="K45" s="1115" t="s">
        <v>4808</v>
      </c>
      <c r="L45" s="1115" t="s">
        <v>4816</v>
      </c>
      <c r="M45" s="1115">
        <v>0</v>
      </c>
      <c r="N45" s="1115">
        <v>107</v>
      </c>
      <c r="O45" s="1115">
        <v>0</v>
      </c>
      <c r="P45" s="1115">
        <v>4</v>
      </c>
      <c r="Q45" s="1115">
        <v>107</v>
      </c>
      <c r="R45" s="1115">
        <v>5</v>
      </c>
      <c r="S45" s="1120"/>
      <c r="T45" s="1120"/>
      <c r="U45" s="1120"/>
      <c r="V45" s="1120"/>
      <c r="W45" s="1120"/>
      <c r="X45" s="1120"/>
      <c r="Y45" s="1008">
        <f t="shared" si="33"/>
        <v>47081930</v>
      </c>
      <c r="Z45" s="1008"/>
      <c r="AA45" s="1008">
        <f>64000000-61918070</f>
        <v>2081930</v>
      </c>
      <c r="AB45" s="1008"/>
      <c r="AC45" s="1008"/>
      <c r="AD45" s="1008"/>
      <c r="AE45" s="1008"/>
      <c r="AF45" s="1008">
        <f>20000000</f>
        <v>20000000</v>
      </c>
      <c r="AG45" s="1008"/>
      <c r="AH45" s="1008"/>
      <c r="AI45" s="1008"/>
      <c r="AJ45" s="1008"/>
      <c r="AK45" s="1008"/>
      <c r="AL45" s="1008"/>
      <c r="AM45" s="1008"/>
      <c r="AN45" s="1008"/>
      <c r="AO45" s="1008">
        <v>25000000</v>
      </c>
      <c r="AP45" s="1008"/>
      <c r="AQ45" s="1008"/>
      <c r="AR45" s="1008"/>
      <c r="AS45" s="1008"/>
      <c r="AU45" s="1011">
        <f t="shared" si="3"/>
        <v>1</v>
      </c>
      <c r="AV45" s="1008">
        <f t="shared" si="34"/>
        <v>47081930</v>
      </c>
      <c r="AW45" s="1008"/>
      <c r="AX45" s="1008">
        <f>+'[14]JUNIO 2015'!$K$1023</f>
        <v>2081930</v>
      </c>
      <c r="AY45" s="1008"/>
      <c r="AZ45" s="1008"/>
      <c r="BA45" s="1008"/>
      <c r="BB45" s="1008"/>
      <c r="BC45" s="1008">
        <f>+'[14]JUNIO 2015'!$P$1023</f>
        <v>20000000</v>
      </c>
      <c r="BD45" s="1008"/>
      <c r="BE45" s="1008"/>
      <c r="BF45" s="1008"/>
      <c r="BG45" s="1008"/>
      <c r="BH45" s="1008"/>
      <c r="BI45" s="1008"/>
      <c r="BJ45" s="1008"/>
      <c r="BK45" s="1008"/>
      <c r="BL45" s="1008">
        <f>+'[15]JULIO 2015'!$Y$1215</f>
        <v>25000000</v>
      </c>
      <c r="BM45" s="1008"/>
      <c r="BN45" s="1008"/>
      <c r="BO45" s="1008"/>
      <c r="BP45" s="1008"/>
      <c r="BQ45" s="1011">
        <f t="shared" si="25"/>
        <v>0</v>
      </c>
      <c r="BR45" s="1008">
        <f t="shared" si="35"/>
        <v>0</v>
      </c>
      <c r="BS45" s="1008">
        <f t="shared" si="36"/>
        <v>0</v>
      </c>
      <c r="BT45" s="1008">
        <f>AA45-AX45</f>
        <v>0</v>
      </c>
      <c r="BU45" s="1008">
        <f t="shared" si="37"/>
        <v>0</v>
      </c>
      <c r="BV45" s="1008">
        <f t="shared" si="37"/>
        <v>0</v>
      </c>
      <c r="BW45" s="1008"/>
      <c r="BX45" s="1008">
        <f t="shared" si="38"/>
        <v>0</v>
      </c>
      <c r="BY45" s="1008">
        <f t="shared" si="38"/>
        <v>0</v>
      </c>
      <c r="BZ45" s="1008"/>
      <c r="CA45" s="1008">
        <f t="shared" si="50"/>
        <v>0</v>
      </c>
      <c r="CB45" s="1008">
        <f t="shared" si="50"/>
        <v>0</v>
      </c>
      <c r="CC45" s="1008">
        <f t="shared" si="50"/>
        <v>0</v>
      </c>
      <c r="CD45" s="1008">
        <f t="shared" si="40"/>
        <v>0</v>
      </c>
      <c r="CE45" s="1008">
        <f t="shared" si="40"/>
        <v>0</v>
      </c>
      <c r="CF45" s="1008">
        <f t="shared" si="40"/>
        <v>0</v>
      </c>
      <c r="CG45" s="1008">
        <f t="shared" si="40"/>
        <v>0</v>
      </c>
      <c r="CH45" s="1008">
        <f t="shared" si="40"/>
        <v>0</v>
      </c>
      <c r="CI45" s="1008">
        <f t="shared" si="40"/>
        <v>0</v>
      </c>
      <c r="CJ45" s="1008"/>
      <c r="CK45" s="1008"/>
      <c r="CL45" s="1008">
        <f t="shared" si="41"/>
        <v>0</v>
      </c>
      <c r="CM45" s="1011">
        <f t="shared" si="13"/>
        <v>0.80776138531279407</v>
      </c>
      <c r="CN45" s="1008">
        <f t="shared" si="42"/>
        <v>38030965</v>
      </c>
      <c r="CO45" s="1008"/>
      <c r="CP45" s="1008">
        <f>+'[12]MAYO 2015'!$H$858</f>
        <v>2081930</v>
      </c>
      <c r="CQ45" s="1008"/>
      <c r="CR45" s="1008"/>
      <c r="CS45" s="1008"/>
      <c r="CT45" s="1008"/>
      <c r="CU45" s="1008">
        <f>+'[17]SEPTIEMBRE 2015'!$H$1555</f>
        <v>20000000</v>
      </c>
      <c r="CV45" s="1008"/>
      <c r="CW45" s="1008"/>
      <c r="CX45" s="1008"/>
      <c r="CY45" s="1008"/>
      <c r="CZ45" s="1008"/>
      <c r="DA45" s="1008"/>
      <c r="DB45" s="1008"/>
      <c r="DC45" s="1008"/>
      <c r="DD45" s="1008">
        <f>+'[18]OCTUBRE 2015'!$H$1784</f>
        <v>15949035</v>
      </c>
      <c r="DE45" s="1008"/>
      <c r="DF45" s="1008"/>
      <c r="DG45" s="1008"/>
      <c r="DH45" s="1008"/>
      <c r="DI45" s="1011">
        <f t="shared" si="15"/>
        <v>0.19223861468720593</v>
      </c>
      <c r="DJ45" s="1008">
        <f t="shared" si="43"/>
        <v>9050965</v>
      </c>
      <c r="DK45" s="1008"/>
      <c r="DL45" s="1008">
        <f t="shared" si="51"/>
        <v>0</v>
      </c>
      <c r="DM45" s="1008">
        <f t="shared" si="51"/>
        <v>0</v>
      </c>
      <c r="DN45" s="1008">
        <f t="shared" si="51"/>
        <v>0</v>
      </c>
      <c r="DO45" s="1008"/>
      <c r="DP45" s="1008">
        <f t="shared" si="45"/>
        <v>0</v>
      </c>
      <c r="DQ45" s="1008">
        <f t="shared" si="45"/>
        <v>0</v>
      </c>
      <c r="DR45" s="1008"/>
      <c r="DS45" s="1008">
        <f t="shared" si="46"/>
        <v>0</v>
      </c>
      <c r="DT45" s="1008">
        <f t="shared" si="46"/>
        <v>0</v>
      </c>
      <c r="DU45" s="1008"/>
      <c r="DV45" s="1008">
        <f t="shared" si="47"/>
        <v>0</v>
      </c>
      <c r="DW45" s="1008">
        <f t="shared" si="47"/>
        <v>0</v>
      </c>
      <c r="DX45" s="1008">
        <f t="shared" si="47"/>
        <v>0</v>
      </c>
      <c r="DY45" s="1008">
        <f t="shared" si="48"/>
        <v>0</v>
      </c>
      <c r="DZ45" s="1008">
        <f t="shared" si="48"/>
        <v>9050965</v>
      </c>
      <c r="EA45" s="1008">
        <f t="shared" si="48"/>
        <v>0</v>
      </c>
      <c r="EB45" s="1008">
        <f t="shared" si="48"/>
        <v>0</v>
      </c>
      <c r="EC45" s="1008"/>
      <c r="ED45" s="1008">
        <f t="shared" si="49"/>
        <v>0</v>
      </c>
    </row>
    <row r="46" spans="1:134" ht="48" hidden="1" customHeight="1" x14ac:dyDescent="0.25">
      <c r="A46" s="1562"/>
      <c r="B46" s="1019"/>
      <c r="C46" s="1116" t="s">
        <v>4378</v>
      </c>
      <c r="D46" s="1019" t="s">
        <v>4322</v>
      </c>
      <c r="E46" s="1020">
        <v>410</v>
      </c>
      <c r="F46" s="1120" t="s">
        <v>4670</v>
      </c>
      <c r="G46" s="1400"/>
      <c r="H46" s="1061">
        <f t="shared" si="31"/>
        <v>6992750</v>
      </c>
      <c r="I46" s="1061">
        <f t="shared" si="32"/>
        <v>1007250</v>
      </c>
      <c r="J46" s="1120" t="s">
        <v>4809</v>
      </c>
      <c r="K46" s="1115" t="s">
        <v>4810</v>
      </c>
      <c r="L46" s="1115" t="s">
        <v>4817</v>
      </c>
      <c r="M46" s="1115">
        <v>17</v>
      </c>
      <c r="N46" s="1115">
        <v>20</v>
      </c>
      <c r="O46" s="1115">
        <v>3</v>
      </c>
      <c r="P46" s="1115">
        <v>31</v>
      </c>
      <c r="Q46" s="1115">
        <v>45</v>
      </c>
      <c r="R46" s="1115">
        <v>14</v>
      </c>
      <c r="S46" s="1120"/>
      <c r="T46" s="1120"/>
      <c r="U46" s="1120"/>
      <c r="V46" s="1120"/>
      <c r="W46" s="1120"/>
      <c r="X46" s="1120"/>
      <c r="Y46" s="1008">
        <f t="shared" si="33"/>
        <v>8000000</v>
      </c>
      <c r="Z46" s="1008"/>
      <c r="AA46" s="1008"/>
      <c r="AB46" s="1008"/>
      <c r="AC46" s="1008"/>
      <c r="AD46" s="1008"/>
      <c r="AE46" s="1008"/>
      <c r="AF46" s="1008"/>
      <c r="AG46" s="1008"/>
      <c r="AH46" s="1008"/>
      <c r="AI46" s="1008"/>
      <c r="AJ46" s="1008"/>
      <c r="AK46" s="1008"/>
      <c r="AL46" s="1008"/>
      <c r="AM46" s="1008"/>
      <c r="AN46" s="1008"/>
      <c r="AO46" s="1008"/>
      <c r="AP46" s="1008"/>
      <c r="AQ46" s="1008"/>
      <c r="AR46" s="1008"/>
      <c r="AS46" s="1008">
        <f>3000000+5000000</f>
        <v>8000000</v>
      </c>
      <c r="AU46" s="1011">
        <f t="shared" si="3"/>
        <v>1</v>
      </c>
      <c r="AV46" s="1008">
        <f t="shared" si="34"/>
        <v>8000000</v>
      </c>
      <c r="AW46" s="1008"/>
      <c r="AX46" s="1008"/>
      <c r="AY46" s="1008"/>
      <c r="AZ46" s="1008"/>
      <c r="BA46" s="1008"/>
      <c r="BB46" s="1008"/>
      <c r="BC46" s="1008"/>
      <c r="BD46" s="1008"/>
      <c r="BE46" s="1008"/>
      <c r="BF46" s="1008"/>
      <c r="BG46" s="1008"/>
      <c r="BH46" s="1008"/>
      <c r="BI46" s="1008"/>
      <c r="BJ46" s="1008"/>
      <c r="BK46" s="1008"/>
      <c r="BL46" s="1008"/>
      <c r="BM46" s="1008"/>
      <c r="BN46" s="1008"/>
      <c r="BO46" s="1008"/>
      <c r="BP46" s="1008">
        <f>+'[15]JULIO 2015'!$G$1233</f>
        <v>8000000</v>
      </c>
      <c r="BQ46" s="1011">
        <f t="shared" si="25"/>
        <v>0</v>
      </c>
      <c r="BR46" s="1008">
        <f t="shared" si="35"/>
        <v>0</v>
      </c>
      <c r="BS46" s="1008">
        <f t="shared" si="36"/>
        <v>0</v>
      </c>
      <c r="BT46" s="1008"/>
      <c r="BU46" s="1008">
        <f t="shared" si="37"/>
        <v>0</v>
      </c>
      <c r="BV46" s="1008">
        <f t="shared" si="37"/>
        <v>0</v>
      </c>
      <c r="BW46" s="1008"/>
      <c r="BX46" s="1008">
        <f t="shared" si="38"/>
        <v>0</v>
      </c>
      <c r="BY46" s="1008">
        <f t="shared" si="38"/>
        <v>0</v>
      </c>
      <c r="BZ46" s="1008"/>
      <c r="CA46" s="1008">
        <f t="shared" si="50"/>
        <v>0</v>
      </c>
      <c r="CB46" s="1008">
        <f t="shared" si="50"/>
        <v>0</v>
      </c>
      <c r="CC46" s="1008">
        <f t="shared" si="50"/>
        <v>0</v>
      </c>
      <c r="CD46" s="1008">
        <f t="shared" si="40"/>
        <v>0</v>
      </c>
      <c r="CE46" s="1008">
        <f t="shared" si="40"/>
        <v>0</v>
      </c>
      <c r="CF46" s="1008">
        <f t="shared" si="40"/>
        <v>0</v>
      </c>
      <c r="CG46" s="1008">
        <f t="shared" si="40"/>
        <v>0</v>
      </c>
      <c r="CH46" s="1008">
        <f t="shared" si="40"/>
        <v>0</v>
      </c>
      <c r="CI46" s="1008">
        <f t="shared" si="40"/>
        <v>0</v>
      </c>
      <c r="CJ46" s="1008"/>
      <c r="CK46" s="1008"/>
      <c r="CL46" s="1008">
        <f t="shared" si="41"/>
        <v>0</v>
      </c>
      <c r="CM46" s="1011">
        <f t="shared" si="13"/>
        <v>0.87409375</v>
      </c>
      <c r="CN46" s="1008">
        <f t="shared" si="42"/>
        <v>6992750</v>
      </c>
      <c r="CO46" s="1008"/>
      <c r="CP46" s="1008"/>
      <c r="CQ46" s="1008"/>
      <c r="CR46" s="1008"/>
      <c r="CS46" s="1008"/>
      <c r="CT46" s="1008"/>
      <c r="CU46" s="1008"/>
      <c r="CV46" s="1008"/>
      <c r="CW46" s="1008"/>
      <c r="CX46" s="1008"/>
      <c r="CY46" s="1008"/>
      <c r="CZ46" s="1008"/>
      <c r="DA46" s="1008"/>
      <c r="DB46" s="1008"/>
      <c r="DC46" s="1008"/>
      <c r="DD46" s="1008"/>
      <c r="DE46" s="1008"/>
      <c r="DF46" s="1008"/>
      <c r="DG46" s="1008"/>
      <c r="DH46" s="1008">
        <f>+'[18]OCTUBRE 2015'!$H$1804</f>
        <v>6992750</v>
      </c>
      <c r="DI46" s="1011">
        <f t="shared" si="15"/>
        <v>0.12590625</v>
      </c>
      <c r="DJ46" s="1008">
        <f t="shared" si="43"/>
        <v>1007250</v>
      </c>
      <c r="DK46" s="1008"/>
      <c r="DL46" s="1008"/>
      <c r="DM46" s="1008"/>
      <c r="DN46" s="1008">
        <f t="shared" si="51"/>
        <v>0</v>
      </c>
      <c r="DO46" s="1008"/>
      <c r="DP46" s="1008">
        <f t="shared" si="45"/>
        <v>0</v>
      </c>
      <c r="DQ46" s="1008">
        <f t="shared" si="45"/>
        <v>0</v>
      </c>
      <c r="DR46" s="1008"/>
      <c r="DS46" s="1008">
        <f t="shared" si="46"/>
        <v>0</v>
      </c>
      <c r="DT46" s="1008">
        <f t="shared" si="46"/>
        <v>0</v>
      </c>
      <c r="DU46" s="1008"/>
      <c r="DV46" s="1008">
        <f t="shared" si="47"/>
        <v>0</v>
      </c>
      <c r="DW46" s="1008">
        <f t="shared" si="47"/>
        <v>0</v>
      </c>
      <c r="DX46" s="1008">
        <f t="shared" si="47"/>
        <v>0</v>
      </c>
      <c r="DY46" s="1008">
        <f t="shared" si="48"/>
        <v>0</v>
      </c>
      <c r="DZ46" s="1008">
        <f t="shared" si="48"/>
        <v>0</v>
      </c>
      <c r="EA46" s="1008">
        <f t="shared" si="48"/>
        <v>0</v>
      </c>
      <c r="EB46" s="1008">
        <f t="shared" si="48"/>
        <v>0</v>
      </c>
      <c r="EC46" s="1008"/>
      <c r="ED46" s="1008">
        <f t="shared" si="49"/>
        <v>1007250</v>
      </c>
    </row>
    <row r="47" spans="1:134" ht="51" hidden="1" customHeight="1" x14ac:dyDescent="0.25">
      <c r="A47" s="1562"/>
      <c r="B47" s="1019"/>
      <c r="C47" s="1116" t="s">
        <v>4379</v>
      </c>
      <c r="D47" s="1019" t="s">
        <v>4323</v>
      </c>
      <c r="E47" s="1020">
        <v>410</v>
      </c>
      <c r="F47" s="1120" t="s">
        <v>3350</v>
      </c>
      <c r="G47" s="1401"/>
      <c r="H47" s="1061">
        <f t="shared" si="31"/>
        <v>115610666</v>
      </c>
      <c r="I47" s="1061">
        <f t="shared" si="32"/>
        <v>30389334</v>
      </c>
      <c r="J47" s="1120" t="s">
        <v>4825</v>
      </c>
      <c r="K47" s="1115" t="s">
        <v>4825</v>
      </c>
      <c r="L47" s="1115" t="s">
        <v>4825</v>
      </c>
      <c r="M47" s="1115">
        <v>67</v>
      </c>
      <c r="N47" s="1115">
        <v>500</v>
      </c>
      <c r="O47" s="1115">
        <v>337</v>
      </c>
      <c r="P47" s="1132">
        <v>94</v>
      </c>
      <c r="Q47" s="1132">
        <v>650</v>
      </c>
      <c r="R47" s="1132">
        <v>613</v>
      </c>
      <c r="S47" s="1120"/>
      <c r="T47" s="1120"/>
      <c r="U47" s="1120"/>
      <c r="V47" s="1120"/>
      <c r="W47" s="1120"/>
      <c r="X47" s="1120"/>
      <c r="Y47" s="1008">
        <f t="shared" si="33"/>
        <v>146000000</v>
      </c>
      <c r="Z47" s="1008"/>
      <c r="AA47" s="1008">
        <f>98670877-98670877</f>
        <v>0</v>
      </c>
      <c r="AB47" s="1008">
        <v>98670877</v>
      </c>
      <c r="AC47" s="1008"/>
      <c r="AD47" s="1008"/>
      <c r="AE47" s="1008"/>
      <c r="AF47" s="1008"/>
      <c r="AG47" s="1008"/>
      <c r="AH47" s="1008"/>
      <c r="AI47" s="1008"/>
      <c r="AJ47" s="1008"/>
      <c r="AK47" s="1008"/>
      <c r="AL47" s="1008"/>
      <c r="AM47" s="1008">
        <f>57329123-10000000</f>
        <v>47329123</v>
      </c>
      <c r="AN47" s="1008"/>
      <c r="AO47" s="1008"/>
      <c r="AP47" s="1008"/>
      <c r="AQ47" s="1008"/>
      <c r="AR47" s="1008"/>
      <c r="AS47" s="1008"/>
      <c r="AU47" s="1011">
        <f t="shared" si="3"/>
        <v>0.81301369863013695</v>
      </c>
      <c r="AV47" s="1008">
        <f t="shared" si="34"/>
        <v>118700000</v>
      </c>
      <c r="AW47" s="1008"/>
      <c r="AX47" s="1008"/>
      <c r="AY47" s="1008">
        <f>+'[18]OCTUBRE 2015'!$L$1822</f>
        <v>71370877</v>
      </c>
      <c r="AZ47" s="1008"/>
      <c r="BA47" s="1008"/>
      <c r="BB47" s="1008"/>
      <c r="BC47" s="1008"/>
      <c r="BD47" s="1008"/>
      <c r="BE47" s="1008"/>
      <c r="BF47" s="1008"/>
      <c r="BG47" s="1008"/>
      <c r="BH47" s="1008"/>
      <c r="BI47" s="1008"/>
      <c r="BJ47" s="1008">
        <f>+'[10]MARZO 2015'!$V$700-10000000</f>
        <v>47329123</v>
      </c>
      <c r="BK47" s="1008"/>
      <c r="BL47" s="1008"/>
      <c r="BM47" s="1008"/>
      <c r="BN47" s="1008"/>
      <c r="BO47" s="1008"/>
      <c r="BP47" s="1008"/>
      <c r="BQ47" s="1011">
        <f t="shared" si="25"/>
        <v>0.18698630136986305</v>
      </c>
      <c r="BR47" s="1008">
        <f t="shared" si="35"/>
        <v>27300000</v>
      </c>
      <c r="BS47" s="1008">
        <f t="shared" si="36"/>
        <v>0</v>
      </c>
      <c r="BT47" s="1008">
        <f t="shared" ref="BT47:BV62" si="52">AA47-AX47</f>
        <v>0</v>
      </c>
      <c r="BU47" s="1008">
        <f t="shared" si="37"/>
        <v>27300000</v>
      </c>
      <c r="BV47" s="1008">
        <f t="shared" si="37"/>
        <v>0</v>
      </c>
      <c r="BW47" s="1008"/>
      <c r="BX47" s="1008">
        <f t="shared" si="38"/>
        <v>0</v>
      </c>
      <c r="BY47" s="1008">
        <f t="shared" si="38"/>
        <v>0</v>
      </c>
      <c r="BZ47" s="1008"/>
      <c r="CA47" s="1008">
        <f t="shared" si="50"/>
        <v>0</v>
      </c>
      <c r="CB47" s="1008">
        <f t="shared" si="50"/>
        <v>0</v>
      </c>
      <c r="CC47" s="1008">
        <f t="shared" si="50"/>
        <v>0</v>
      </c>
      <c r="CD47" s="1008">
        <f t="shared" si="40"/>
        <v>0</v>
      </c>
      <c r="CE47" s="1008">
        <f t="shared" si="40"/>
        <v>0</v>
      </c>
      <c r="CF47" s="1008">
        <f t="shared" si="40"/>
        <v>0</v>
      </c>
      <c r="CG47" s="1008">
        <f t="shared" si="40"/>
        <v>0</v>
      </c>
      <c r="CH47" s="1008">
        <f t="shared" si="40"/>
        <v>0</v>
      </c>
      <c r="CI47" s="1008">
        <f t="shared" si="40"/>
        <v>0</v>
      </c>
      <c r="CJ47" s="1008"/>
      <c r="CK47" s="1008"/>
      <c r="CL47" s="1008">
        <f t="shared" si="41"/>
        <v>0</v>
      </c>
      <c r="CM47" s="1011">
        <f t="shared" si="13"/>
        <v>0.79185387671232876</v>
      </c>
      <c r="CN47" s="1008">
        <f t="shared" si="42"/>
        <v>115610666</v>
      </c>
      <c r="CO47" s="1008"/>
      <c r="CP47" s="1008"/>
      <c r="CQ47" s="1008">
        <f>+'[18]OCTUBRE 2015'!$H$1823</f>
        <v>71370877</v>
      </c>
      <c r="CR47" s="1008"/>
      <c r="CS47" s="1008"/>
      <c r="CT47" s="1008"/>
      <c r="CU47" s="1008"/>
      <c r="CV47" s="1008"/>
      <c r="CW47" s="1008"/>
      <c r="CX47" s="1008"/>
      <c r="CY47" s="1008"/>
      <c r="CZ47" s="1008"/>
      <c r="DA47" s="1008"/>
      <c r="DB47" s="1008">
        <f>+'[18]OCTUBRE 2015'!$H$1833</f>
        <v>44239789</v>
      </c>
      <c r="DC47" s="1008"/>
      <c r="DD47" s="1008"/>
      <c r="DE47" s="1008"/>
      <c r="DF47" s="1008"/>
      <c r="DG47" s="1008"/>
      <c r="DH47" s="1008"/>
      <c r="DI47" s="1011">
        <f t="shared" si="15"/>
        <v>0.20814612328767124</v>
      </c>
      <c r="DJ47" s="1008">
        <f t="shared" si="43"/>
        <v>30389334</v>
      </c>
      <c r="DK47" s="1008"/>
      <c r="DL47" s="1008">
        <f t="shared" ref="DL47:DM49" si="53">AA47-CP47</f>
        <v>0</v>
      </c>
      <c r="DM47" s="1008">
        <f t="shared" si="53"/>
        <v>27300000</v>
      </c>
      <c r="DN47" s="1008">
        <f t="shared" si="51"/>
        <v>0</v>
      </c>
      <c r="DO47" s="1008"/>
      <c r="DP47" s="1008">
        <f t="shared" si="45"/>
        <v>0</v>
      </c>
      <c r="DQ47" s="1008">
        <f t="shared" si="45"/>
        <v>0</v>
      </c>
      <c r="DR47" s="1008"/>
      <c r="DS47" s="1008">
        <f t="shared" si="46"/>
        <v>0</v>
      </c>
      <c r="DT47" s="1008">
        <f t="shared" si="46"/>
        <v>0</v>
      </c>
      <c r="DU47" s="1008"/>
      <c r="DV47" s="1008">
        <f t="shared" si="47"/>
        <v>0</v>
      </c>
      <c r="DW47" s="1008">
        <f t="shared" si="47"/>
        <v>0</v>
      </c>
      <c r="DX47" s="1008">
        <f t="shared" si="47"/>
        <v>3089334</v>
      </c>
      <c r="DY47" s="1008">
        <f t="shared" si="48"/>
        <v>0</v>
      </c>
      <c r="DZ47" s="1008">
        <f t="shared" si="48"/>
        <v>0</v>
      </c>
      <c r="EA47" s="1008">
        <f t="shared" si="48"/>
        <v>0</v>
      </c>
      <c r="EB47" s="1008">
        <f t="shared" si="48"/>
        <v>0</v>
      </c>
      <c r="EC47" s="1008"/>
      <c r="ED47" s="1008">
        <f t="shared" si="49"/>
        <v>0</v>
      </c>
    </row>
    <row r="48" spans="1:134" ht="35.25" hidden="1" customHeight="1" x14ac:dyDescent="0.25">
      <c r="A48" s="1562"/>
      <c r="B48" s="1019" t="s">
        <v>4310</v>
      </c>
      <c r="C48" s="1116" t="s">
        <v>4380</v>
      </c>
      <c r="D48" s="1019" t="s">
        <v>4608</v>
      </c>
      <c r="E48" s="1020">
        <v>410</v>
      </c>
      <c r="F48" s="1120" t="s">
        <v>3350</v>
      </c>
      <c r="G48" s="1399">
        <v>1150000000</v>
      </c>
      <c r="H48" s="1061">
        <f t="shared" si="31"/>
        <v>510077537</v>
      </c>
      <c r="I48" s="1061">
        <f t="shared" si="32"/>
        <v>104803463</v>
      </c>
      <c r="J48" s="1399" t="s">
        <v>4811</v>
      </c>
      <c r="K48" s="1283" t="s">
        <v>4812</v>
      </c>
      <c r="L48" s="1283" t="s">
        <v>4818</v>
      </c>
      <c r="M48" s="1115">
        <v>6</v>
      </c>
      <c r="N48" s="1115">
        <v>112</v>
      </c>
      <c r="O48" s="1115">
        <v>7</v>
      </c>
      <c r="P48" s="1115">
        <v>42</v>
      </c>
      <c r="Q48" s="1115">
        <v>132</v>
      </c>
      <c r="R48" s="1115">
        <v>55</v>
      </c>
      <c r="S48" s="1120"/>
      <c r="T48" s="1120"/>
      <c r="U48" s="1120"/>
      <c r="V48" s="1120"/>
      <c r="W48" s="1120"/>
      <c r="X48" s="1120"/>
      <c r="Y48" s="1052">
        <f t="shared" si="33"/>
        <v>614881000</v>
      </c>
      <c r="Z48" s="944"/>
      <c r="AA48" s="1008">
        <f>420000000-415119000</f>
        <v>4881000</v>
      </c>
      <c r="AB48" s="1008"/>
      <c r="AC48" s="1008"/>
      <c r="AD48" s="1008"/>
      <c r="AE48" s="1008">
        <f>30000000+30000000+10000000+20000000</f>
        <v>90000000</v>
      </c>
      <c r="AF48" s="1008">
        <f>5000000+10000000</f>
        <v>15000000</v>
      </c>
      <c r="AG48" s="1008">
        <v>102810569</v>
      </c>
      <c r="AH48" s="1008">
        <v>219471348</v>
      </c>
      <c r="AI48" s="1008"/>
      <c r="AJ48" s="1008"/>
      <c r="AK48" s="1008"/>
      <c r="AL48" s="1008"/>
      <c r="AM48" s="1008">
        <f>10000000</f>
        <v>10000000</v>
      </c>
      <c r="AN48" s="1008">
        <f>82718083+10000000+20000000+10000000</f>
        <v>122718083</v>
      </c>
      <c r="AO48" s="1008">
        <f>30000000+10000000+10000000</f>
        <v>50000000</v>
      </c>
      <c r="AP48" s="1008"/>
      <c r="AQ48" s="1008"/>
      <c r="AR48" s="1008"/>
      <c r="AS48" s="1008"/>
      <c r="AU48" s="1011">
        <f t="shared" si="3"/>
        <v>1</v>
      </c>
      <c r="AV48" s="1008">
        <f t="shared" si="34"/>
        <v>614881000</v>
      </c>
      <c r="AW48" s="1008"/>
      <c r="AX48" s="1008">
        <f>+'[14]JUNIO 2015'!$K$1062</f>
        <v>4881000</v>
      </c>
      <c r="AY48" s="1008"/>
      <c r="AZ48" s="1008"/>
      <c r="BA48" s="1008"/>
      <c r="BB48" s="1008">
        <f>+'[14]JUNIO 2015'!$O$1062</f>
        <v>90000000</v>
      </c>
      <c r="BC48" s="1008">
        <f>+'[14]JUNIO 2015'!$P$1062</f>
        <v>15000000</v>
      </c>
      <c r="BD48" s="1008">
        <f>+'[8]FEBRERO 2015'!$P$585</f>
        <v>102810569</v>
      </c>
      <c r="BE48" s="1008">
        <f>+'[8]FEBRERO 2015'!$Q$585</f>
        <v>219471348</v>
      </c>
      <c r="BF48" s="1008"/>
      <c r="BG48" s="1008"/>
      <c r="BH48" s="1008"/>
      <c r="BI48" s="1008"/>
      <c r="BJ48" s="1008">
        <f>+'[14]JUNIO 2015'!$W$1062</f>
        <v>10000000</v>
      </c>
      <c r="BK48" s="1008">
        <f>+'[14]JUNIO 2015'!$X$1062</f>
        <v>122718083</v>
      </c>
      <c r="BL48" s="1008">
        <f>+'[14]JUNIO 2015'!$Y$1062</f>
        <v>50000000</v>
      </c>
      <c r="BM48" s="1008"/>
      <c r="BN48" s="1008"/>
      <c r="BO48" s="1008"/>
      <c r="BP48" s="1008"/>
      <c r="BQ48" s="1011">
        <f t="shared" si="25"/>
        <v>0</v>
      </c>
      <c r="BR48" s="1008">
        <f t="shared" si="35"/>
        <v>0</v>
      </c>
      <c r="BS48" s="1008">
        <f t="shared" si="36"/>
        <v>0</v>
      </c>
      <c r="BT48" s="1008">
        <f t="shared" si="52"/>
        <v>0</v>
      </c>
      <c r="BU48" s="1008">
        <f t="shared" si="37"/>
        <v>0</v>
      </c>
      <c r="BV48" s="1008">
        <f t="shared" si="37"/>
        <v>0</v>
      </c>
      <c r="BW48" s="1008"/>
      <c r="BX48" s="1008">
        <f t="shared" si="38"/>
        <v>0</v>
      </c>
      <c r="BY48" s="1008">
        <f t="shared" si="38"/>
        <v>0</v>
      </c>
      <c r="BZ48" s="1008">
        <f>+AG48-BD48</f>
        <v>0</v>
      </c>
      <c r="CA48" s="1008">
        <f t="shared" si="50"/>
        <v>0</v>
      </c>
      <c r="CB48" s="1008">
        <f t="shared" si="50"/>
        <v>0</v>
      </c>
      <c r="CC48" s="1008">
        <f t="shared" si="50"/>
        <v>0</v>
      </c>
      <c r="CD48" s="1008">
        <f t="shared" si="40"/>
        <v>0</v>
      </c>
      <c r="CE48" s="1008">
        <f t="shared" si="40"/>
        <v>0</v>
      </c>
      <c r="CF48" s="1008">
        <f t="shared" si="40"/>
        <v>0</v>
      </c>
      <c r="CG48" s="1008">
        <f t="shared" si="40"/>
        <v>0</v>
      </c>
      <c r="CH48" s="1008">
        <f t="shared" si="40"/>
        <v>0</v>
      </c>
      <c r="CI48" s="1008">
        <f t="shared" si="40"/>
        <v>0</v>
      </c>
      <c r="CJ48" s="1008"/>
      <c r="CK48" s="1008"/>
      <c r="CL48" s="1008">
        <f t="shared" si="41"/>
        <v>0</v>
      </c>
      <c r="CM48" s="1011">
        <f t="shared" si="13"/>
        <v>0.82955488460368754</v>
      </c>
      <c r="CN48" s="1008">
        <f t="shared" si="42"/>
        <v>510077537</v>
      </c>
      <c r="CO48" s="1008"/>
      <c r="CP48" s="1008">
        <f>+'[16]AGOSTO 2015'!$H$1429+'[16]AGOSTO 2015'!$H$1430</f>
        <v>4881000</v>
      </c>
      <c r="CQ48" s="1008"/>
      <c r="CR48" s="1008"/>
      <c r="CS48" s="1008"/>
      <c r="CT48" s="1008">
        <f>+'[18]OCTUBRE 2015'!$H$1951</f>
        <v>87185148</v>
      </c>
      <c r="CU48" s="1008">
        <f>+'[17]SEPTIEMBRE 2015'!$H$1790</f>
        <v>15000000</v>
      </c>
      <c r="CV48" s="1008">
        <f>+'[14]JUNIO 2015'!$H$1093</f>
        <v>102810569</v>
      </c>
      <c r="CW48" s="1008">
        <f>+'[17]SEPTIEMBRE 2015'!$H$1680</f>
        <v>129471348</v>
      </c>
      <c r="CX48" s="1008"/>
      <c r="CY48" s="1008"/>
      <c r="CZ48" s="1008"/>
      <c r="DA48" s="1008"/>
      <c r="DB48" s="1008">
        <f>+'[18]OCTUBRE 2015'!$H$2005</f>
        <v>10000000</v>
      </c>
      <c r="DC48" s="1008">
        <f>+'[18]OCTUBRE 2015'!$H$1848+'[18]OCTUBRE 2015'!$H$1989</f>
        <v>110729472</v>
      </c>
      <c r="DD48" s="1008">
        <f>+'[18]OCTUBRE 2015'!$H$2010</f>
        <v>50000000</v>
      </c>
      <c r="DE48" s="1008"/>
      <c r="DF48" s="1008"/>
      <c r="DG48" s="1008"/>
      <c r="DH48" s="1008"/>
      <c r="DI48" s="1011">
        <f t="shared" si="15"/>
        <v>0.17044511539631246</v>
      </c>
      <c r="DJ48" s="1008">
        <f t="shared" si="43"/>
        <v>104803463</v>
      </c>
      <c r="DK48" s="1008"/>
      <c r="DL48" s="1008">
        <f t="shared" si="53"/>
        <v>0</v>
      </c>
      <c r="DM48" s="1008">
        <f t="shared" si="53"/>
        <v>0</v>
      </c>
      <c r="DN48" s="1008">
        <f t="shared" si="51"/>
        <v>0</v>
      </c>
      <c r="DO48" s="1008"/>
      <c r="DP48" s="1008">
        <f t="shared" si="45"/>
        <v>2814852</v>
      </c>
      <c r="DQ48" s="1008">
        <f t="shared" si="45"/>
        <v>0</v>
      </c>
      <c r="DR48" s="1008">
        <f>AG48-CV48</f>
        <v>0</v>
      </c>
      <c r="DS48" s="1008">
        <f t="shared" si="46"/>
        <v>90000000</v>
      </c>
      <c r="DT48" s="1008">
        <f t="shared" si="46"/>
        <v>0</v>
      </c>
      <c r="DU48" s="1008"/>
      <c r="DV48" s="1008">
        <f t="shared" si="47"/>
        <v>0</v>
      </c>
      <c r="DW48" s="1008">
        <f t="shared" si="47"/>
        <v>0</v>
      </c>
      <c r="DX48" s="1008">
        <f t="shared" si="47"/>
        <v>0</v>
      </c>
      <c r="DY48" s="1008">
        <f t="shared" si="48"/>
        <v>11988611</v>
      </c>
      <c r="DZ48" s="1008">
        <f t="shared" si="48"/>
        <v>0</v>
      </c>
      <c r="EA48" s="1008">
        <f t="shared" si="48"/>
        <v>0</v>
      </c>
      <c r="EB48" s="1008">
        <f t="shared" si="48"/>
        <v>0</v>
      </c>
      <c r="EC48" s="1008"/>
      <c r="ED48" s="1008">
        <f t="shared" si="49"/>
        <v>0</v>
      </c>
    </row>
    <row r="49" spans="1:135" ht="33.75" hidden="1" customHeight="1" x14ac:dyDescent="0.25">
      <c r="A49" s="1562"/>
      <c r="B49" s="1019"/>
      <c r="C49" s="1116" t="s">
        <v>4381</v>
      </c>
      <c r="D49" s="1019" t="s">
        <v>4609</v>
      </c>
      <c r="E49" s="1020">
        <v>410</v>
      </c>
      <c r="F49" s="1120" t="s">
        <v>3350</v>
      </c>
      <c r="G49" s="1400"/>
      <c r="H49" s="1061">
        <f t="shared" si="31"/>
        <v>14050000</v>
      </c>
      <c r="I49" s="1061">
        <f t="shared" si="32"/>
        <v>5950000</v>
      </c>
      <c r="J49" s="1401"/>
      <c r="K49" s="1284"/>
      <c r="L49" s="1284"/>
      <c r="M49" s="1115">
        <v>93</v>
      </c>
      <c r="N49" s="1115">
        <v>100</v>
      </c>
      <c r="O49" s="1115">
        <v>93</v>
      </c>
      <c r="P49" s="1115">
        <v>93</v>
      </c>
      <c r="Q49" s="1115">
        <v>100</v>
      </c>
      <c r="R49" s="1115">
        <v>93</v>
      </c>
      <c r="S49" s="1120"/>
      <c r="T49" s="1120"/>
      <c r="U49" s="1120"/>
      <c r="V49" s="1120"/>
      <c r="W49" s="1120"/>
      <c r="X49" s="1120"/>
      <c r="Y49" s="1008">
        <f t="shared" si="33"/>
        <v>20000000</v>
      </c>
      <c r="Z49" s="944"/>
      <c r="AA49" s="1008">
        <f>20000000-18055657-1450000</f>
        <v>494343</v>
      </c>
      <c r="AB49" s="1008">
        <v>18055657</v>
      </c>
      <c r="AC49" s="1008"/>
      <c r="AD49" s="1008"/>
      <c r="AE49" s="1008"/>
      <c r="AF49" s="1008"/>
      <c r="AG49" s="1008"/>
      <c r="AH49" s="1008"/>
      <c r="AI49" s="1008"/>
      <c r="AJ49" s="1008"/>
      <c r="AK49" s="1008"/>
      <c r="AL49" s="1008"/>
      <c r="AM49" s="1008"/>
      <c r="AN49" s="1008"/>
      <c r="AO49" s="1008">
        <v>1450000</v>
      </c>
      <c r="AP49" s="1008"/>
      <c r="AQ49" s="1008"/>
      <c r="AR49" s="1008"/>
      <c r="AS49" s="1008"/>
      <c r="AU49" s="1011">
        <f t="shared" si="3"/>
        <v>0.77500000000000002</v>
      </c>
      <c r="AV49" s="1008">
        <f t="shared" si="34"/>
        <v>15500000</v>
      </c>
      <c r="AW49" s="1008"/>
      <c r="AX49" s="1008">
        <v>494343</v>
      </c>
      <c r="AY49" s="1008">
        <f>+'[18]OCTUBRE 2015'!$L$2052</f>
        <v>13555657</v>
      </c>
      <c r="AZ49" s="1008"/>
      <c r="BA49" s="1008"/>
      <c r="BB49" s="1008"/>
      <c r="BC49" s="1008"/>
      <c r="BD49" s="1008"/>
      <c r="BE49" s="1008"/>
      <c r="BF49" s="1008"/>
      <c r="BG49" s="1008"/>
      <c r="BH49" s="1008"/>
      <c r="BI49" s="1008"/>
      <c r="BJ49" s="1008"/>
      <c r="BK49" s="1008"/>
      <c r="BL49" s="1008">
        <f>+'[15]JULIO 2015'!$Y$1386</f>
        <v>1450000</v>
      </c>
      <c r="BM49" s="1008"/>
      <c r="BN49" s="1008"/>
      <c r="BO49" s="1008"/>
      <c r="BP49" s="1008"/>
      <c r="BQ49" s="1011">
        <f t="shared" si="25"/>
        <v>0.22499999999999998</v>
      </c>
      <c r="BR49" s="1008">
        <f t="shared" si="35"/>
        <v>4500000</v>
      </c>
      <c r="BS49" s="1008">
        <f t="shared" si="36"/>
        <v>0</v>
      </c>
      <c r="BT49" s="1008">
        <f t="shared" si="52"/>
        <v>0</v>
      </c>
      <c r="BU49" s="1008">
        <f t="shared" si="37"/>
        <v>4500000</v>
      </c>
      <c r="BV49" s="1008">
        <f t="shared" si="37"/>
        <v>0</v>
      </c>
      <c r="BW49" s="1008"/>
      <c r="BX49" s="1008">
        <f t="shared" si="38"/>
        <v>0</v>
      </c>
      <c r="BY49" s="1008">
        <f t="shared" si="38"/>
        <v>0</v>
      </c>
      <c r="BZ49" s="1008"/>
      <c r="CA49" s="1008"/>
      <c r="CB49" s="1008">
        <f>+AI49-BF49</f>
        <v>0</v>
      </c>
      <c r="CC49" s="1008"/>
      <c r="CD49" s="1008">
        <f t="shared" si="40"/>
        <v>0</v>
      </c>
      <c r="CE49" s="1008">
        <f t="shared" si="40"/>
        <v>0</v>
      </c>
      <c r="CF49" s="1008">
        <f t="shared" si="40"/>
        <v>0</v>
      </c>
      <c r="CG49" s="1008">
        <f t="shared" si="40"/>
        <v>0</v>
      </c>
      <c r="CH49" s="1008">
        <f t="shared" si="40"/>
        <v>0</v>
      </c>
      <c r="CI49" s="1008">
        <f t="shared" si="40"/>
        <v>0</v>
      </c>
      <c r="CJ49" s="1008"/>
      <c r="CK49" s="1008"/>
      <c r="CL49" s="1008">
        <f t="shared" si="41"/>
        <v>0</v>
      </c>
      <c r="CM49" s="1011">
        <f t="shared" si="13"/>
        <v>0.70250000000000001</v>
      </c>
      <c r="CN49" s="1008">
        <f t="shared" si="42"/>
        <v>14050000</v>
      </c>
      <c r="CO49" s="1008"/>
      <c r="CP49" s="1008">
        <f>20000000-18055657-1450000</f>
        <v>494343</v>
      </c>
      <c r="CQ49" s="1008">
        <f>+'[18]OCTUBRE 2015'!$L$2053</f>
        <v>13555657</v>
      </c>
      <c r="CR49" s="1008"/>
      <c r="CS49" s="1008"/>
      <c r="CT49" s="1008"/>
      <c r="CU49" s="1008"/>
      <c r="CV49" s="1008"/>
      <c r="CW49" s="1008"/>
      <c r="CX49" s="1008"/>
      <c r="CY49" s="1008"/>
      <c r="CZ49" s="1008"/>
      <c r="DA49" s="1008"/>
      <c r="DB49" s="1008"/>
      <c r="DC49" s="1008"/>
      <c r="DD49" s="1008"/>
      <c r="DE49" s="1008"/>
      <c r="DF49" s="1008"/>
      <c r="DG49" s="1008"/>
      <c r="DH49" s="1008"/>
      <c r="DI49" s="1011">
        <f t="shared" si="15"/>
        <v>0.29749999999999999</v>
      </c>
      <c r="DJ49" s="1008">
        <f t="shared" si="43"/>
        <v>5950000</v>
      </c>
      <c r="DK49" s="1008"/>
      <c r="DL49" s="1008">
        <f t="shared" si="53"/>
        <v>0</v>
      </c>
      <c r="DM49" s="1008">
        <f t="shared" si="53"/>
        <v>4500000</v>
      </c>
      <c r="DN49" s="1008">
        <f t="shared" si="51"/>
        <v>0</v>
      </c>
      <c r="DO49" s="1008"/>
      <c r="DP49" s="1008">
        <f t="shared" si="45"/>
        <v>0</v>
      </c>
      <c r="DQ49" s="1008">
        <f t="shared" si="45"/>
        <v>0</v>
      </c>
      <c r="DR49" s="1008"/>
      <c r="DS49" s="1008">
        <f t="shared" si="46"/>
        <v>0</v>
      </c>
      <c r="DT49" s="1008">
        <f t="shared" si="46"/>
        <v>0</v>
      </c>
      <c r="DU49" s="1008"/>
      <c r="DV49" s="1008">
        <f t="shared" si="47"/>
        <v>0</v>
      </c>
      <c r="DW49" s="1008">
        <f t="shared" si="47"/>
        <v>0</v>
      </c>
      <c r="DX49" s="1008">
        <f t="shared" si="47"/>
        <v>0</v>
      </c>
      <c r="DY49" s="1008">
        <f t="shared" si="48"/>
        <v>0</v>
      </c>
      <c r="DZ49" s="1008">
        <f t="shared" si="48"/>
        <v>1450000</v>
      </c>
      <c r="EA49" s="1008">
        <f t="shared" si="48"/>
        <v>0</v>
      </c>
      <c r="EB49" s="1008">
        <f t="shared" si="48"/>
        <v>0</v>
      </c>
      <c r="EC49" s="1008"/>
      <c r="ED49" s="1008">
        <f t="shared" si="49"/>
        <v>0</v>
      </c>
    </row>
    <row r="50" spans="1:135" ht="39.75" hidden="1" customHeight="1" x14ac:dyDescent="0.25">
      <c r="A50" s="1562"/>
      <c r="B50" s="1019"/>
      <c r="C50" s="1116" t="s">
        <v>4382</v>
      </c>
      <c r="D50" s="1019" t="s">
        <v>4311</v>
      </c>
      <c r="E50" s="1020">
        <v>410</v>
      </c>
      <c r="F50" s="1120" t="s">
        <v>4704</v>
      </c>
      <c r="G50" s="1400"/>
      <c r="H50" s="1061">
        <f t="shared" si="31"/>
        <v>19373471</v>
      </c>
      <c r="I50" s="1061">
        <f t="shared" si="32"/>
        <v>12126529</v>
      </c>
      <c r="J50" s="1399" t="s">
        <v>4813</v>
      </c>
      <c r="K50" s="1283" t="s">
        <v>4814</v>
      </c>
      <c r="L50" s="1283" t="s">
        <v>4813</v>
      </c>
      <c r="M50" s="1115">
        <v>0</v>
      </c>
      <c r="N50" s="1115">
        <v>0</v>
      </c>
      <c r="O50" s="1115">
        <v>0</v>
      </c>
      <c r="P50" s="1115">
        <v>8</v>
      </c>
      <c r="Q50" s="1115">
        <v>0</v>
      </c>
      <c r="R50" s="1115">
        <v>0</v>
      </c>
      <c r="S50" s="1120"/>
      <c r="T50" s="1120"/>
      <c r="U50" s="1120"/>
      <c r="V50" s="1120"/>
      <c r="W50" s="1120"/>
      <c r="X50" s="1120"/>
      <c r="Y50" s="1008">
        <f t="shared" si="33"/>
        <v>31500000</v>
      </c>
      <c r="Z50" s="944"/>
      <c r="AA50" s="1008"/>
      <c r="AB50" s="1008"/>
      <c r="AC50" s="1008"/>
      <c r="AD50" s="1008"/>
      <c r="AE50" s="1008"/>
      <c r="AF50" s="1008"/>
      <c r="AG50" s="1008"/>
      <c r="AH50" s="1008"/>
      <c r="AI50" s="1008"/>
      <c r="AJ50" s="1008"/>
      <c r="AK50" s="1008"/>
      <c r="AL50" s="1008"/>
      <c r="AM50" s="1008"/>
      <c r="AN50" s="1008">
        <f>14000000-10000000</f>
        <v>4000000</v>
      </c>
      <c r="AO50" s="1008"/>
      <c r="AP50" s="1008"/>
      <c r="AQ50" s="1008"/>
      <c r="AR50" s="1008"/>
      <c r="AS50" s="1008">
        <f>5000000+2500000+5000000+15000000</f>
        <v>27500000</v>
      </c>
      <c r="AU50" s="1011">
        <f t="shared" si="3"/>
        <v>0.69774511111111115</v>
      </c>
      <c r="AV50" s="1008">
        <f t="shared" si="34"/>
        <v>21978971</v>
      </c>
      <c r="AW50" s="1008"/>
      <c r="AX50" s="1008"/>
      <c r="AY50" s="1008"/>
      <c r="AZ50" s="1008"/>
      <c r="BA50" s="1008"/>
      <c r="BB50" s="1008"/>
      <c r="BC50" s="1008"/>
      <c r="BD50" s="1008"/>
      <c r="BE50" s="1008"/>
      <c r="BF50" s="1008"/>
      <c r="BG50" s="1008"/>
      <c r="BH50" s="1008"/>
      <c r="BI50" s="1008"/>
      <c r="BJ50" s="1008"/>
      <c r="BK50" s="1008">
        <v>4000000</v>
      </c>
      <c r="BL50" s="1008"/>
      <c r="BM50" s="1008"/>
      <c r="BN50" s="1008"/>
      <c r="BO50" s="1008"/>
      <c r="BP50" s="1008">
        <f>+'[18]OCTUBRE 2015'!$AD$2060</f>
        <v>17978971</v>
      </c>
      <c r="BQ50" s="1011">
        <f t="shared" si="25"/>
        <v>0.30225488888888885</v>
      </c>
      <c r="BR50" s="1008">
        <f t="shared" si="35"/>
        <v>9521029</v>
      </c>
      <c r="BS50" s="1008">
        <f t="shared" si="36"/>
        <v>0</v>
      </c>
      <c r="BT50" s="1008">
        <f t="shared" si="52"/>
        <v>0</v>
      </c>
      <c r="BU50" s="1008">
        <f t="shared" si="37"/>
        <v>0</v>
      </c>
      <c r="BV50" s="1008">
        <f t="shared" si="37"/>
        <v>0</v>
      </c>
      <c r="BW50" s="1008"/>
      <c r="BX50" s="1008">
        <f t="shared" si="38"/>
        <v>0</v>
      </c>
      <c r="BY50" s="1008">
        <f t="shared" si="38"/>
        <v>0</v>
      </c>
      <c r="BZ50" s="1008"/>
      <c r="CA50" s="1008"/>
      <c r="CB50" s="1008">
        <f>+AI50-BF50</f>
        <v>0</v>
      </c>
      <c r="CC50" s="1008"/>
      <c r="CD50" s="1008">
        <f t="shared" si="40"/>
        <v>0</v>
      </c>
      <c r="CE50" s="1008">
        <f t="shared" si="40"/>
        <v>0</v>
      </c>
      <c r="CF50" s="1008">
        <f t="shared" si="40"/>
        <v>0</v>
      </c>
      <c r="CG50" s="1008">
        <f t="shared" si="40"/>
        <v>0</v>
      </c>
      <c r="CH50" s="1008">
        <f t="shared" si="40"/>
        <v>0</v>
      </c>
      <c r="CI50" s="1008">
        <f t="shared" si="40"/>
        <v>0</v>
      </c>
      <c r="CJ50" s="1008"/>
      <c r="CK50" s="1008"/>
      <c r="CL50" s="1008">
        <f t="shared" si="41"/>
        <v>9521029</v>
      </c>
      <c r="CM50" s="1011">
        <f t="shared" si="13"/>
        <v>0.61503082539682541</v>
      </c>
      <c r="CN50" s="1008">
        <f t="shared" si="42"/>
        <v>19373471</v>
      </c>
      <c r="CO50" s="1008"/>
      <c r="CP50" s="1008"/>
      <c r="CQ50" s="1008"/>
      <c r="CR50" s="1008"/>
      <c r="CS50" s="1008"/>
      <c r="CT50" s="1008"/>
      <c r="CU50" s="1008"/>
      <c r="CV50" s="1008"/>
      <c r="CW50" s="1008"/>
      <c r="CX50" s="1008"/>
      <c r="CY50" s="1008"/>
      <c r="CZ50" s="1008"/>
      <c r="DA50" s="1008"/>
      <c r="DB50" s="1008"/>
      <c r="DC50" s="1008">
        <f>+'[15]JULIO 2015'!$H$1401</f>
        <v>4000000</v>
      </c>
      <c r="DD50" s="1008"/>
      <c r="DE50" s="1008"/>
      <c r="DF50" s="1008"/>
      <c r="DG50" s="1008"/>
      <c r="DH50" s="1008">
        <f>+'[18]OCTUBRE 2015'!$H$2058-DC50</f>
        <v>15373471</v>
      </c>
      <c r="DI50" s="1011">
        <f t="shared" si="15"/>
        <v>0.38496917460317459</v>
      </c>
      <c r="DJ50" s="1008">
        <f t="shared" si="43"/>
        <v>12126529</v>
      </c>
      <c r="DK50" s="1008"/>
      <c r="DL50" s="1008"/>
      <c r="DM50" s="1008"/>
      <c r="DN50" s="1008">
        <f t="shared" si="51"/>
        <v>0</v>
      </c>
      <c r="DO50" s="1008"/>
      <c r="DP50" s="1008">
        <f t="shared" si="45"/>
        <v>0</v>
      </c>
      <c r="DQ50" s="1008">
        <f t="shared" si="45"/>
        <v>0</v>
      </c>
      <c r="DR50" s="1008"/>
      <c r="DS50" s="1008">
        <f t="shared" si="46"/>
        <v>0</v>
      </c>
      <c r="DT50" s="1008">
        <f t="shared" si="46"/>
        <v>0</v>
      </c>
      <c r="DU50" s="1008"/>
      <c r="DV50" s="1008">
        <f t="shared" si="47"/>
        <v>0</v>
      </c>
      <c r="DW50" s="1008">
        <f t="shared" si="47"/>
        <v>0</v>
      </c>
      <c r="DX50" s="1008">
        <f t="shared" si="47"/>
        <v>0</v>
      </c>
      <c r="DY50" s="1008">
        <f t="shared" si="48"/>
        <v>0</v>
      </c>
      <c r="DZ50" s="1008">
        <f t="shared" si="48"/>
        <v>0</v>
      </c>
      <c r="EA50" s="1008">
        <f t="shared" si="48"/>
        <v>0</v>
      </c>
      <c r="EB50" s="1008">
        <f t="shared" si="48"/>
        <v>0</v>
      </c>
      <c r="EC50" s="1008"/>
      <c r="ED50" s="1008">
        <f t="shared" si="49"/>
        <v>12126529</v>
      </c>
    </row>
    <row r="51" spans="1:135" ht="32.25" hidden="1" customHeight="1" x14ac:dyDescent="0.25">
      <c r="A51" s="1562"/>
      <c r="B51" s="1019"/>
      <c r="C51" s="1116" t="s">
        <v>4383</v>
      </c>
      <c r="D51" s="1019" t="s">
        <v>4324</v>
      </c>
      <c r="E51" s="1020">
        <v>410</v>
      </c>
      <c r="F51" s="1120" t="s">
        <v>4347</v>
      </c>
      <c r="G51" s="1400"/>
      <c r="H51" s="1061">
        <f t="shared" si="31"/>
        <v>0</v>
      </c>
      <c r="I51" s="1061">
        <f t="shared" si="32"/>
        <v>7000000</v>
      </c>
      <c r="J51" s="1400"/>
      <c r="K51" s="1573"/>
      <c r="L51" s="1573"/>
      <c r="M51" s="1115">
        <v>0</v>
      </c>
      <c r="N51" s="1115">
        <v>0</v>
      </c>
      <c r="O51" s="1115">
        <v>0</v>
      </c>
      <c r="P51" s="1115">
        <v>0</v>
      </c>
      <c r="Q51" s="1115">
        <v>0</v>
      </c>
      <c r="R51" s="1115">
        <v>0</v>
      </c>
      <c r="S51" s="1120"/>
      <c r="T51" s="1120"/>
      <c r="U51" s="1120"/>
      <c r="V51" s="1120"/>
      <c r="W51" s="1120"/>
      <c r="X51" s="1120"/>
      <c r="Y51" s="1008">
        <f t="shared" si="33"/>
        <v>7000000</v>
      </c>
      <c r="Z51" s="944"/>
      <c r="AA51" s="1008"/>
      <c r="AB51" s="1008"/>
      <c r="AC51" s="1008"/>
      <c r="AD51" s="1008"/>
      <c r="AE51" s="1008"/>
      <c r="AF51" s="1008"/>
      <c r="AG51" s="1008"/>
      <c r="AH51" s="1008"/>
      <c r="AI51" s="1008"/>
      <c r="AJ51" s="1008"/>
      <c r="AK51" s="1008"/>
      <c r="AL51" s="1008"/>
      <c r="AM51" s="1008"/>
      <c r="AN51" s="1008"/>
      <c r="AO51" s="1008"/>
      <c r="AP51" s="1008"/>
      <c r="AQ51" s="1008"/>
      <c r="AR51" s="1008"/>
      <c r="AS51" s="1008">
        <f>2000000+5000000</f>
        <v>7000000</v>
      </c>
      <c r="AU51" s="1011">
        <f t="shared" si="3"/>
        <v>0.2857142857142857</v>
      </c>
      <c r="AV51" s="1008">
        <f t="shared" si="34"/>
        <v>2000000</v>
      </c>
      <c r="AW51" s="1008"/>
      <c r="AX51" s="1008"/>
      <c r="AY51" s="1008"/>
      <c r="AZ51" s="1008"/>
      <c r="BA51" s="1008"/>
      <c r="BB51" s="1008"/>
      <c r="BC51" s="1008"/>
      <c r="BD51" s="1008"/>
      <c r="BE51" s="1008"/>
      <c r="BF51" s="1008"/>
      <c r="BG51" s="1008"/>
      <c r="BH51" s="1008"/>
      <c r="BI51" s="1008"/>
      <c r="BJ51" s="1008"/>
      <c r="BK51" s="1008"/>
      <c r="BL51" s="1008"/>
      <c r="BM51" s="1008"/>
      <c r="BN51" s="1008"/>
      <c r="BO51" s="1008"/>
      <c r="BP51" s="1008">
        <f>+'[9]FEBRERO 2015'!$AC$571</f>
        <v>2000000</v>
      </c>
      <c r="BQ51" s="1011">
        <f t="shared" si="25"/>
        <v>0.7142857142857143</v>
      </c>
      <c r="BR51" s="1008">
        <f t="shared" si="35"/>
        <v>5000000</v>
      </c>
      <c r="BS51" s="1008">
        <f t="shared" si="36"/>
        <v>0</v>
      </c>
      <c r="BT51" s="1008">
        <f t="shared" si="52"/>
        <v>0</v>
      </c>
      <c r="BU51" s="1008">
        <f t="shared" si="52"/>
        <v>0</v>
      </c>
      <c r="BV51" s="1008">
        <f t="shared" si="52"/>
        <v>0</v>
      </c>
      <c r="BW51" s="1008"/>
      <c r="BX51" s="1008">
        <f t="shared" si="38"/>
        <v>0</v>
      </c>
      <c r="BY51" s="1008">
        <f t="shared" si="38"/>
        <v>0</v>
      </c>
      <c r="BZ51" s="1008"/>
      <c r="CA51" s="1008"/>
      <c r="CB51" s="1008">
        <f>+AI51-BF51</f>
        <v>0</v>
      </c>
      <c r="CC51" s="1008"/>
      <c r="CD51" s="1008">
        <f t="shared" si="40"/>
        <v>0</v>
      </c>
      <c r="CE51" s="1008">
        <f t="shared" si="40"/>
        <v>0</v>
      </c>
      <c r="CF51" s="1008">
        <f t="shared" si="40"/>
        <v>0</v>
      </c>
      <c r="CG51" s="1008">
        <f t="shared" si="40"/>
        <v>0</v>
      </c>
      <c r="CH51" s="1008">
        <f t="shared" si="40"/>
        <v>0</v>
      </c>
      <c r="CI51" s="1008">
        <f t="shared" si="40"/>
        <v>0</v>
      </c>
      <c r="CJ51" s="1008"/>
      <c r="CK51" s="1008"/>
      <c r="CL51" s="1008">
        <f t="shared" si="41"/>
        <v>5000000</v>
      </c>
      <c r="CM51" s="1011">
        <f t="shared" si="13"/>
        <v>0</v>
      </c>
      <c r="CN51" s="1008">
        <f t="shared" si="42"/>
        <v>0</v>
      </c>
      <c r="CO51" s="1008"/>
      <c r="CP51" s="1008"/>
      <c r="CQ51" s="1008"/>
      <c r="CR51" s="1008"/>
      <c r="CS51" s="1008"/>
      <c r="CT51" s="1008"/>
      <c r="CU51" s="1008"/>
      <c r="CV51" s="1008"/>
      <c r="CW51" s="1008"/>
      <c r="CX51" s="1008"/>
      <c r="CY51" s="1008"/>
      <c r="CZ51" s="1008"/>
      <c r="DA51" s="1008"/>
      <c r="DB51" s="1008"/>
      <c r="DC51" s="1008"/>
      <c r="DD51" s="1008"/>
      <c r="DE51" s="1008"/>
      <c r="DF51" s="1008"/>
      <c r="DG51" s="1008"/>
      <c r="DH51" s="1008"/>
      <c r="DI51" s="1011">
        <f t="shared" si="15"/>
        <v>1</v>
      </c>
      <c r="DJ51" s="1008">
        <f t="shared" si="43"/>
        <v>7000000</v>
      </c>
      <c r="DK51" s="1008"/>
      <c r="DL51" s="1008"/>
      <c r="DM51" s="1008"/>
      <c r="DN51" s="1008">
        <f t="shared" si="51"/>
        <v>0</v>
      </c>
      <c r="DO51" s="1008"/>
      <c r="DP51" s="1008">
        <f t="shared" si="45"/>
        <v>0</v>
      </c>
      <c r="DQ51" s="1008">
        <f t="shared" si="45"/>
        <v>0</v>
      </c>
      <c r="DR51" s="1008"/>
      <c r="DS51" s="1008">
        <f t="shared" si="46"/>
        <v>0</v>
      </c>
      <c r="DT51" s="1008">
        <f t="shared" si="46"/>
        <v>0</v>
      </c>
      <c r="DU51" s="1008"/>
      <c r="DV51" s="1008">
        <f t="shared" si="47"/>
        <v>0</v>
      </c>
      <c r="DW51" s="1008">
        <f t="shared" si="47"/>
        <v>0</v>
      </c>
      <c r="DX51" s="1008">
        <f t="shared" si="47"/>
        <v>0</v>
      </c>
      <c r="DY51" s="1008">
        <f t="shared" si="48"/>
        <v>0</v>
      </c>
      <c r="DZ51" s="1008">
        <f t="shared" si="48"/>
        <v>0</v>
      </c>
      <c r="EA51" s="1008">
        <f t="shared" si="48"/>
        <v>0</v>
      </c>
      <c r="EB51" s="1008">
        <f t="shared" si="48"/>
        <v>0</v>
      </c>
      <c r="EC51" s="1008"/>
      <c r="ED51" s="1008">
        <f t="shared" si="49"/>
        <v>7000000</v>
      </c>
    </row>
    <row r="52" spans="1:135" s="203" customFormat="1" ht="21.75" hidden="1" customHeight="1" x14ac:dyDescent="0.25">
      <c r="A52" s="1562"/>
      <c r="B52" s="1019"/>
      <c r="C52" s="1081" t="s">
        <v>4384</v>
      </c>
      <c r="D52" s="1019" t="s">
        <v>4325</v>
      </c>
      <c r="E52" s="1020">
        <v>410</v>
      </c>
      <c r="F52" s="1120" t="s">
        <v>3350</v>
      </c>
      <c r="G52" s="1401"/>
      <c r="H52" s="1061">
        <f t="shared" si="31"/>
        <v>502114960</v>
      </c>
      <c r="I52" s="1061">
        <f t="shared" si="32"/>
        <v>197885040</v>
      </c>
      <c r="J52" s="1401"/>
      <c r="K52" s="1284"/>
      <c r="L52" s="1284"/>
      <c r="M52" s="1075"/>
      <c r="N52" s="1075"/>
      <c r="O52" s="1075"/>
      <c r="P52" s="1075"/>
      <c r="Q52" s="1075"/>
      <c r="R52" s="1075"/>
      <c r="S52" s="1120"/>
      <c r="T52" s="1120"/>
      <c r="U52" s="1120"/>
      <c r="V52" s="1120"/>
      <c r="W52" s="1120"/>
      <c r="X52" s="1120"/>
      <c r="Y52" s="1067">
        <f t="shared" si="33"/>
        <v>700000000</v>
      </c>
      <c r="Z52" s="149"/>
      <c r="AA52" s="1067"/>
      <c r="AB52" s="1067"/>
      <c r="AC52" s="1067"/>
      <c r="AD52" s="1067"/>
      <c r="AE52" s="1067"/>
      <c r="AF52" s="1067"/>
      <c r="AG52" s="1067"/>
      <c r="AH52" s="1067"/>
      <c r="AI52" s="1067"/>
      <c r="AJ52" s="1067"/>
      <c r="AK52" s="1067"/>
      <c r="AL52" s="1067">
        <v>700000000</v>
      </c>
      <c r="AM52" s="1067"/>
      <c r="AN52" s="1067"/>
      <c r="AO52" s="1067"/>
      <c r="AP52" s="1067"/>
      <c r="AQ52" s="1067"/>
      <c r="AR52" s="1067"/>
      <c r="AS52" s="1067"/>
      <c r="AU52" s="1082">
        <f t="shared" si="3"/>
        <v>0.87039913571428573</v>
      </c>
      <c r="AV52" s="1067">
        <f t="shared" si="34"/>
        <v>609279395</v>
      </c>
      <c r="AW52" s="1067"/>
      <c r="AX52" s="1067"/>
      <c r="AY52" s="1067"/>
      <c r="AZ52" s="1067"/>
      <c r="BA52" s="1067"/>
      <c r="BB52" s="1067"/>
      <c r="BC52" s="1067"/>
      <c r="BD52" s="1067"/>
      <c r="BE52" s="1067"/>
      <c r="BF52" s="1067"/>
      <c r="BG52" s="1067"/>
      <c r="BH52" s="1067"/>
      <c r="BI52" s="1067">
        <v>609279395</v>
      </c>
      <c r="BJ52" s="1067"/>
      <c r="BK52" s="1067"/>
      <c r="BL52" s="1067"/>
      <c r="BM52" s="1067"/>
      <c r="BN52" s="1067"/>
      <c r="BO52" s="1067"/>
      <c r="BP52" s="1067"/>
      <c r="BQ52" s="1082">
        <f t="shared" si="25"/>
        <v>0.12960086428571427</v>
      </c>
      <c r="BR52" s="1067">
        <f t="shared" si="35"/>
        <v>90720605</v>
      </c>
      <c r="BS52" s="1067">
        <f t="shared" si="36"/>
        <v>0</v>
      </c>
      <c r="BT52" s="1067">
        <f t="shared" si="52"/>
        <v>0</v>
      </c>
      <c r="BU52" s="1067">
        <f t="shared" si="52"/>
        <v>0</v>
      </c>
      <c r="BV52" s="1067">
        <f t="shared" si="52"/>
        <v>0</v>
      </c>
      <c r="BW52" s="1067"/>
      <c r="BX52" s="1067">
        <f t="shared" si="38"/>
        <v>0</v>
      </c>
      <c r="BY52" s="1067">
        <f t="shared" si="38"/>
        <v>0</v>
      </c>
      <c r="BZ52" s="1067"/>
      <c r="CA52" s="1067">
        <f>+AH52-BE52</f>
        <v>0</v>
      </c>
      <c r="CB52" s="1067">
        <f>+AI52-BF52</f>
        <v>0</v>
      </c>
      <c r="CC52" s="1067">
        <f>+AJ52-BG52</f>
        <v>0</v>
      </c>
      <c r="CD52" s="1067">
        <f t="shared" si="40"/>
        <v>0</v>
      </c>
      <c r="CE52" s="1067">
        <f t="shared" si="40"/>
        <v>90720605</v>
      </c>
      <c r="CF52" s="1067">
        <f t="shared" si="40"/>
        <v>0</v>
      </c>
      <c r="CG52" s="1067">
        <f t="shared" si="40"/>
        <v>0</v>
      </c>
      <c r="CH52" s="1067">
        <f t="shared" si="40"/>
        <v>0</v>
      </c>
      <c r="CI52" s="1067">
        <f t="shared" si="40"/>
        <v>0</v>
      </c>
      <c r="CJ52" s="1067"/>
      <c r="CK52" s="1067"/>
      <c r="CL52" s="1067">
        <f t="shared" si="41"/>
        <v>0</v>
      </c>
      <c r="CM52" s="1082">
        <f t="shared" si="13"/>
        <v>0.7173070857142857</v>
      </c>
      <c r="CN52" s="1067">
        <f t="shared" si="42"/>
        <v>502114960</v>
      </c>
      <c r="CO52" s="1067"/>
      <c r="CP52" s="1067"/>
      <c r="CQ52" s="1067"/>
      <c r="CR52" s="1067"/>
      <c r="CS52" s="1067"/>
      <c r="CT52" s="1067"/>
      <c r="CU52" s="1067"/>
      <c r="CV52" s="1067"/>
      <c r="CW52" s="1067"/>
      <c r="CX52" s="1067"/>
      <c r="CY52" s="1067"/>
      <c r="CZ52" s="1067"/>
      <c r="DA52" s="1067">
        <f>+'[18]OCTUBRE 2015'!$H$2087</f>
        <v>502114960</v>
      </c>
      <c r="DB52" s="1067"/>
      <c r="DC52" s="1067"/>
      <c r="DD52" s="1067"/>
      <c r="DE52" s="1067"/>
      <c r="DF52" s="1067"/>
      <c r="DG52" s="1067"/>
      <c r="DH52" s="1067"/>
      <c r="DI52" s="1082">
        <f t="shared" si="15"/>
        <v>0.2826929142857143</v>
      </c>
      <c r="DJ52" s="1067">
        <f t="shared" si="43"/>
        <v>197885040</v>
      </c>
      <c r="DK52" s="1067"/>
      <c r="DL52" s="1067"/>
      <c r="DM52" s="1067"/>
      <c r="DN52" s="1067">
        <f t="shared" si="51"/>
        <v>0</v>
      </c>
      <c r="DO52" s="1067"/>
      <c r="DP52" s="1067">
        <f t="shared" si="45"/>
        <v>0</v>
      </c>
      <c r="DQ52" s="1067">
        <f t="shared" si="45"/>
        <v>0</v>
      </c>
      <c r="DR52" s="1067"/>
      <c r="DS52" s="1067">
        <f t="shared" si="46"/>
        <v>0</v>
      </c>
      <c r="DT52" s="1067">
        <f t="shared" si="46"/>
        <v>0</v>
      </c>
      <c r="DU52" s="1067"/>
      <c r="DV52" s="1067">
        <f t="shared" si="47"/>
        <v>0</v>
      </c>
      <c r="DW52" s="1067">
        <f t="shared" si="47"/>
        <v>197885040</v>
      </c>
      <c r="DX52" s="1067">
        <f t="shared" si="47"/>
        <v>0</v>
      </c>
      <c r="DY52" s="1067">
        <f t="shared" si="48"/>
        <v>0</v>
      </c>
      <c r="DZ52" s="1067">
        <f t="shared" si="48"/>
        <v>0</v>
      </c>
      <c r="EA52" s="1067">
        <f t="shared" si="48"/>
        <v>0</v>
      </c>
      <c r="EB52" s="1067">
        <f t="shared" si="48"/>
        <v>0</v>
      </c>
      <c r="EC52" s="1067"/>
      <c r="ED52" s="1067">
        <f t="shared" si="49"/>
        <v>0</v>
      </c>
    </row>
    <row r="53" spans="1:135" ht="53.25" hidden="1" customHeight="1" x14ac:dyDescent="0.25">
      <c r="A53" s="1562"/>
      <c r="B53" s="1019" t="s">
        <v>4312</v>
      </c>
      <c r="C53" s="1116" t="s">
        <v>4385</v>
      </c>
      <c r="D53" s="1019" t="s">
        <v>4327</v>
      </c>
      <c r="E53" s="1020">
        <v>410</v>
      </c>
      <c r="F53" s="1120" t="s">
        <v>4732</v>
      </c>
      <c r="G53" s="1399">
        <v>1104000000</v>
      </c>
      <c r="H53" s="1061">
        <f t="shared" si="31"/>
        <v>4326213</v>
      </c>
      <c r="I53" s="1061">
        <f t="shared" si="32"/>
        <v>1673787</v>
      </c>
      <c r="J53" s="1120" t="s">
        <v>4826</v>
      </c>
      <c r="K53" s="1115" t="s">
        <v>4828</v>
      </c>
      <c r="L53" s="1115" t="s">
        <v>4830</v>
      </c>
      <c r="M53" s="1115">
        <v>0</v>
      </c>
      <c r="N53" s="1115">
        <v>0</v>
      </c>
      <c r="O53" s="1115">
        <v>0</v>
      </c>
      <c r="P53" s="1115">
        <v>0</v>
      </c>
      <c r="Q53" s="1115">
        <v>0</v>
      </c>
      <c r="R53" s="1115">
        <v>0</v>
      </c>
      <c r="S53" s="1120"/>
      <c r="T53" s="1120"/>
      <c r="U53" s="1120"/>
      <c r="V53" s="1120"/>
      <c r="W53" s="1120"/>
      <c r="X53" s="1120"/>
      <c r="Y53" s="1008">
        <f t="shared" si="33"/>
        <v>6000000</v>
      </c>
      <c r="Z53" s="944"/>
      <c r="AA53" s="1008"/>
      <c r="AB53" s="1008"/>
      <c r="AC53" s="1008"/>
      <c r="AD53" s="1008"/>
      <c r="AE53" s="1008"/>
      <c r="AF53" s="1008"/>
      <c r="AG53" s="1008"/>
      <c r="AH53" s="1008"/>
      <c r="AI53" s="1008"/>
      <c r="AJ53" s="1008"/>
      <c r="AK53" s="1008"/>
      <c r="AL53" s="1008"/>
      <c r="AM53" s="1008"/>
      <c r="AN53" s="1008"/>
      <c r="AO53" s="1008"/>
      <c r="AP53" s="1008"/>
      <c r="AQ53" s="1008"/>
      <c r="AR53" s="1008"/>
      <c r="AS53" s="1008">
        <f>4000000+2000000</f>
        <v>6000000</v>
      </c>
      <c r="AU53" s="1011">
        <f t="shared" si="3"/>
        <v>1</v>
      </c>
      <c r="AV53" s="1008">
        <f t="shared" si="34"/>
        <v>6000000</v>
      </c>
      <c r="AW53" s="1008"/>
      <c r="AX53" s="1008"/>
      <c r="AY53" s="1008"/>
      <c r="AZ53" s="1008"/>
      <c r="BA53" s="1008"/>
      <c r="BB53" s="1008"/>
      <c r="BC53" s="1008"/>
      <c r="BD53" s="1008"/>
      <c r="BE53" s="1008"/>
      <c r="BF53" s="1008"/>
      <c r="BG53" s="1008"/>
      <c r="BH53" s="1008"/>
      <c r="BI53" s="1008"/>
      <c r="BJ53" s="1008"/>
      <c r="BK53" s="1008"/>
      <c r="BL53" s="1008"/>
      <c r="BM53" s="1008"/>
      <c r="BN53" s="1008"/>
      <c r="BO53" s="1008"/>
      <c r="BP53" s="1008">
        <f>+'[15]JULIO 2015'!$AD$1462</f>
        <v>6000000</v>
      </c>
      <c r="BQ53" s="1011">
        <f t="shared" si="25"/>
        <v>0</v>
      </c>
      <c r="BR53" s="1008">
        <f t="shared" si="35"/>
        <v>0</v>
      </c>
      <c r="BS53" s="1008">
        <f t="shared" si="36"/>
        <v>0</v>
      </c>
      <c r="BT53" s="1008">
        <f t="shared" si="52"/>
        <v>0</v>
      </c>
      <c r="BU53" s="1008">
        <f t="shared" si="52"/>
        <v>0</v>
      </c>
      <c r="BV53" s="1008">
        <f t="shared" si="52"/>
        <v>0</v>
      </c>
      <c r="BW53" s="1008"/>
      <c r="BX53" s="1008">
        <f t="shared" si="38"/>
        <v>0</v>
      </c>
      <c r="BY53" s="1008">
        <f t="shared" si="38"/>
        <v>0</v>
      </c>
      <c r="BZ53" s="1008"/>
      <c r="CA53" s="1008">
        <f>+AH53-BF53</f>
        <v>0</v>
      </c>
      <c r="CB53" s="1008">
        <f>+AI53-BF53</f>
        <v>0</v>
      </c>
      <c r="CC53" s="1008">
        <f>+AJ53-BG53</f>
        <v>0</v>
      </c>
      <c r="CD53" s="1008">
        <f t="shared" si="40"/>
        <v>0</v>
      </c>
      <c r="CE53" s="1008">
        <f t="shared" si="40"/>
        <v>0</v>
      </c>
      <c r="CF53" s="1008">
        <f t="shared" si="40"/>
        <v>0</v>
      </c>
      <c r="CG53" s="1008">
        <f t="shared" si="40"/>
        <v>0</v>
      </c>
      <c r="CH53" s="1008">
        <f t="shared" si="40"/>
        <v>0</v>
      </c>
      <c r="CI53" s="1008">
        <f t="shared" si="40"/>
        <v>0</v>
      </c>
      <c r="CJ53" s="1008">
        <f>+AQ53-BN53</f>
        <v>0</v>
      </c>
      <c r="CK53" s="1008">
        <f>+AR53-BO53</f>
        <v>0</v>
      </c>
      <c r="CL53" s="1008">
        <f t="shared" si="41"/>
        <v>0</v>
      </c>
      <c r="CM53" s="1011">
        <f t="shared" si="13"/>
        <v>0.72103550000000005</v>
      </c>
      <c r="CN53" s="1008">
        <f t="shared" si="42"/>
        <v>4326213</v>
      </c>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f>+'[18]OCTUBRE 2015'!$H$2150</f>
        <v>4326213</v>
      </c>
      <c r="DI53" s="1011">
        <f t="shared" si="15"/>
        <v>0.27896449999999995</v>
      </c>
      <c r="DJ53" s="1008">
        <f t="shared" si="43"/>
        <v>1673787</v>
      </c>
      <c r="DK53" s="1008"/>
      <c r="DL53" s="1008"/>
      <c r="DM53" s="1008"/>
      <c r="DN53" s="1008">
        <f t="shared" si="51"/>
        <v>0</v>
      </c>
      <c r="DO53" s="1008"/>
      <c r="DP53" s="1008">
        <f t="shared" si="45"/>
        <v>0</v>
      </c>
      <c r="DQ53" s="1008">
        <f t="shared" si="45"/>
        <v>0</v>
      </c>
      <c r="DR53" s="1008"/>
      <c r="DS53" s="1008">
        <f t="shared" si="46"/>
        <v>0</v>
      </c>
      <c r="DT53" s="1008">
        <f t="shared" si="46"/>
        <v>0</v>
      </c>
      <c r="DU53" s="1008"/>
      <c r="DV53" s="1008">
        <f t="shared" si="47"/>
        <v>0</v>
      </c>
      <c r="DW53" s="1008">
        <f t="shared" si="47"/>
        <v>0</v>
      </c>
      <c r="DX53" s="1008">
        <f t="shared" si="47"/>
        <v>0</v>
      </c>
      <c r="DY53" s="1008">
        <f t="shared" si="48"/>
        <v>0</v>
      </c>
      <c r="DZ53" s="1008">
        <f t="shared" si="48"/>
        <v>0</v>
      </c>
      <c r="EA53" s="1008">
        <f t="shared" si="48"/>
        <v>0</v>
      </c>
      <c r="EB53" s="1008">
        <f t="shared" si="48"/>
        <v>0</v>
      </c>
      <c r="EC53" s="1008"/>
      <c r="ED53" s="1008">
        <f t="shared" si="49"/>
        <v>1673787</v>
      </c>
    </row>
    <row r="54" spans="1:135" ht="36.75" hidden="1" customHeight="1" x14ac:dyDescent="0.25">
      <c r="A54" s="1562"/>
      <c r="B54" s="1019"/>
      <c r="C54" s="1116" t="s">
        <v>4386</v>
      </c>
      <c r="D54" s="1019" t="s">
        <v>4326</v>
      </c>
      <c r="E54" s="1020">
        <v>410</v>
      </c>
      <c r="F54" s="1120" t="s">
        <v>3350</v>
      </c>
      <c r="G54" s="1400"/>
      <c r="H54" s="1061">
        <f t="shared" si="31"/>
        <v>67552259</v>
      </c>
      <c r="I54" s="1061">
        <f t="shared" si="32"/>
        <v>49887778</v>
      </c>
      <c r="J54" s="1399" t="s">
        <v>4827</v>
      </c>
      <c r="K54" s="1283" t="s">
        <v>4829</v>
      </c>
      <c r="L54" s="1283" t="s">
        <v>4831</v>
      </c>
      <c r="M54" s="1115">
        <v>6</v>
      </c>
      <c r="N54" s="1115">
        <v>400</v>
      </c>
      <c r="O54" s="1115">
        <v>25</v>
      </c>
      <c r="P54" s="1115">
        <v>44</v>
      </c>
      <c r="Q54" s="1115">
        <v>450</v>
      </c>
      <c r="R54" s="1115">
        <v>200</v>
      </c>
      <c r="S54" s="1120"/>
      <c r="T54" s="1120"/>
      <c r="U54" s="1120"/>
      <c r="V54" s="1120"/>
      <c r="W54" s="1120"/>
      <c r="X54" s="1120"/>
      <c r="Y54" s="1008">
        <f t="shared" si="33"/>
        <v>117440037</v>
      </c>
      <c r="Z54" s="944"/>
      <c r="AA54" s="1008">
        <f>400000000-352559963</f>
        <v>47440037</v>
      </c>
      <c r="AB54" s="1008"/>
      <c r="AC54" s="1008"/>
      <c r="AD54" s="1008"/>
      <c r="AE54" s="1008">
        <v>50000000</v>
      </c>
      <c r="AF54" s="1008"/>
      <c r="AG54" s="1008"/>
      <c r="AH54" s="1008"/>
      <c r="AI54" s="1008"/>
      <c r="AJ54" s="1008"/>
      <c r="AK54" s="1008"/>
      <c r="AL54" s="1008"/>
      <c r="AM54" s="1008"/>
      <c r="AN54" s="1008"/>
      <c r="AO54" s="1008">
        <v>20000000</v>
      </c>
      <c r="AP54" s="1008"/>
      <c r="AQ54" s="1008"/>
      <c r="AR54" s="1008"/>
      <c r="AS54" s="1008"/>
      <c r="AU54" s="1011">
        <f t="shared" si="3"/>
        <v>0.64275243714373154</v>
      </c>
      <c r="AV54" s="1008">
        <f t="shared" si="34"/>
        <v>75484870</v>
      </c>
      <c r="AW54" s="1008"/>
      <c r="AX54" s="1008">
        <f>+'[18]OCTUBRE 2015'!$K$2165</f>
        <v>41482739</v>
      </c>
      <c r="AY54" s="1008"/>
      <c r="AZ54" s="1008"/>
      <c r="BA54" s="1008"/>
      <c r="BB54" s="1008">
        <f>+'[18]OCTUBRE 2015'!$O$2165</f>
        <v>14002131</v>
      </c>
      <c r="BC54" s="1008"/>
      <c r="BD54" s="1008"/>
      <c r="BE54" s="1008"/>
      <c r="BF54" s="1008"/>
      <c r="BG54" s="1008"/>
      <c r="BH54" s="1008"/>
      <c r="BI54" s="1008"/>
      <c r="BJ54" s="1008"/>
      <c r="BK54" s="1008"/>
      <c r="BL54" s="1008">
        <f>+'[15]JULIO 2015'!$Y$1469</f>
        <v>20000000</v>
      </c>
      <c r="BM54" s="1008"/>
      <c r="BN54" s="1008"/>
      <c r="BO54" s="1008"/>
      <c r="BP54" s="1008"/>
      <c r="BQ54" s="1011">
        <f t="shared" si="25"/>
        <v>0.35724756285626846</v>
      </c>
      <c r="BR54" s="1008">
        <f t="shared" si="35"/>
        <v>41955167</v>
      </c>
      <c r="BS54" s="1008">
        <f t="shared" si="36"/>
        <v>0</v>
      </c>
      <c r="BT54" s="1008">
        <f t="shared" si="52"/>
        <v>5957298</v>
      </c>
      <c r="BU54" s="1008">
        <f t="shared" si="52"/>
        <v>0</v>
      </c>
      <c r="BV54" s="1008">
        <f t="shared" si="52"/>
        <v>0</v>
      </c>
      <c r="BW54" s="1008"/>
      <c r="BX54" s="1008">
        <f t="shared" si="38"/>
        <v>35997869</v>
      </c>
      <c r="BY54" s="1008">
        <f t="shared" si="38"/>
        <v>0</v>
      </c>
      <c r="BZ54" s="1008"/>
      <c r="CA54" s="1008">
        <f>+AH54-BF54</f>
        <v>0</v>
      </c>
      <c r="CB54" s="1008">
        <f>+AI54-BG54</f>
        <v>0</v>
      </c>
      <c r="CC54" s="1008">
        <f>+AJ54-BH54</f>
        <v>0</v>
      </c>
      <c r="CD54" s="1008">
        <f t="shared" si="40"/>
        <v>0</v>
      </c>
      <c r="CE54" s="1008">
        <f t="shared" si="40"/>
        <v>0</v>
      </c>
      <c r="CF54" s="1008">
        <f t="shared" si="40"/>
        <v>0</v>
      </c>
      <c r="CG54" s="1008">
        <f t="shared" si="40"/>
        <v>0</v>
      </c>
      <c r="CH54" s="1008">
        <f t="shared" si="40"/>
        <v>0</v>
      </c>
      <c r="CI54" s="1008">
        <f t="shared" si="40"/>
        <v>0</v>
      </c>
      <c r="CJ54" s="1008">
        <f>+AQ54-BN54</f>
        <v>0</v>
      </c>
      <c r="CK54" s="1008">
        <f>+AR54-BO54</f>
        <v>0</v>
      </c>
      <c r="CL54" s="1008">
        <f t="shared" si="41"/>
        <v>0</v>
      </c>
      <c r="CM54" s="1011">
        <f t="shared" si="13"/>
        <v>0.5752063838331386</v>
      </c>
      <c r="CN54" s="1008">
        <f t="shared" si="42"/>
        <v>67552259</v>
      </c>
      <c r="CO54" s="1008"/>
      <c r="CP54" s="1008">
        <f>+'[18]OCTUBRE 2015'!$H$2169+'[18]OCTUBRE 2015'!$H$2173+'[18]OCTUBRE 2015'!$H$2176+'[18]OCTUBRE 2015'!$H$2181+'[18]OCTUBRE 2015'!$H$2186+'[18]OCTUBRE 2015'!$H$2189+'[18]OCTUBRE 2015'!$H$2192+'[18]OCTUBRE 2015'!$H$2200</f>
        <v>41482739</v>
      </c>
      <c r="CQ54" s="1008"/>
      <c r="CR54" s="1008"/>
      <c r="CS54" s="1008"/>
      <c r="CT54" s="1008">
        <f>+'[15]JULIO 2015'!$H$1506</f>
        <v>14002131</v>
      </c>
      <c r="CU54" s="1008"/>
      <c r="CV54" s="1008"/>
      <c r="CW54" s="1008"/>
      <c r="CX54" s="1008"/>
      <c r="CY54" s="1008"/>
      <c r="CZ54" s="1008"/>
      <c r="DA54" s="1008"/>
      <c r="DB54" s="1008"/>
      <c r="DC54" s="1008"/>
      <c r="DD54" s="1008">
        <f>+'[18]OCTUBRE 2015'!$H$2207</f>
        <v>12067389</v>
      </c>
      <c r="DE54" s="1008"/>
      <c r="DF54" s="1008"/>
      <c r="DG54" s="1008"/>
      <c r="DH54" s="1008"/>
      <c r="DI54" s="1011">
        <f t="shared" si="15"/>
        <v>0.4247936161668614</v>
      </c>
      <c r="DJ54" s="1008">
        <f t="shared" si="43"/>
        <v>49887778</v>
      </c>
      <c r="DK54" s="1008"/>
      <c r="DL54" s="1008">
        <f>AA54-CP54</f>
        <v>5957298</v>
      </c>
      <c r="DM54" s="1008">
        <f>AB54-CQ54</f>
        <v>0</v>
      </c>
      <c r="DN54" s="1008">
        <f t="shared" si="51"/>
        <v>0</v>
      </c>
      <c r="DO54" s="1008"/>
      <c r="DP54" s="1008">
        <f t="shared" si="45"/>
        <v>35997869</v>
      </c>
      <c r="DQ54" s="1008">
        <f t="shared" si="45"/>
        <v>0</v>
      </c>
      <c r="DR54" s="1008"/>
      <c r="DS54" s="1008">
        <f t="shared" si="46"/>
        <v>0</v>
      </c>
      <c r="DT54" s="1008">
        <f t="shared" si="46"/>
        <v>0</v>
      </c>
      <c r="DU54" s="1008"/>
      <c r="DV54" s="1008">
        <f t="shared" si="47"/>
        <v>0</v>
      </c>
      <c r="DW54" s="1008">
        <f t="shared" si="47"/>
        <v>0</v>
      </c>
      <c r="DX54" s="1008">
        <f t="shared" si="47"/>
        <v>0</v>
      </c>
      <c r="DY54" s="1008">
        <f t="shared" si="48"/>
        <v>0</v>
      </c>
      <c r="DZ54" s="1008">
        <f t="shared" si="48"/>
        <v>7932611</v>
      </c>
      <c r="EA54" s="1008">
        <f t="shared" si="48"/>
        <v>0</v>
      </c>
      <c r="EB54" s="1008">
        <f t="shared" si="48"/>
        <v>0</v>
      </c>
      <c r="EC54" s="1008"/>
      <c r="ED54" s="1008">
        <f t="shared" si="49"/>
        <v>0</v>
      </c>
    </row>
    <row r="55" spans="1:135" ht="20.25" hidden="1" customHeight="1" x14ac:dyDescent="0.25">
      <c r="A55" s="1562"/>
      <c r="B55" s="1019"/>
      <c r="C55" s="1116" t="s">
        <v>4387</v>
      </c>
      <c r="D55" s="1019" t="s">
        <v>4610</v>
      </c>
      <c r="E55" s="1020">
        <v>410</v>
      </c>
      <c r="F55" s="1120" t="s">
        <v>3350</v>
      </c>
      <c r="G55" s="1401"/>
      <c r="H55" s="1061">
        <f t="shared" si="31"/>
        <v>1035821377</v>
      </c>
      <c r="I55" s="1061">
        <f t="shared" si="32"/>
        <v>1768192303</v>
      </c>
      <c r="J55" s="1401"/>
      <c r="K55" s="1284"/>
      <c r="L55" s="1284"/>
      <c r="M55" s="1115">
        <v>56</v>
      </c>
      <c r="N55" s="1115">
        <v>150</v>
      </c>
      <c r="O55" s="1115">
        <v>84</v>
      </c>
      <c r="P55" s="1115">
        <v>20</v>
      </c>
      <c r="Q55" s="1115">
        <v>100</v>
      </c>
      <c r="R55" s="1115">
        <v>20</v>
      </c>
      <c r="S55" s="1120"/>
      <c r="T55" s="1120"/>
      <c r="U55" s="1120"/>
      <c r="V55" s="1120"/>
      <c r="W55" s="1120"/>
      <c r="X55" s="1120"/>
      <c r="Y55" s="1008">
        <f t="shared" si="33"/>
        <v>2804013680</v>
      </c>
      <c r="Z55" s="944"/>
      <c r="AA55" s="1008"/>
      <c r="AB55" s="1008"/>
      <c r="AC55" s="1008"/>
      <c r="AD55" s="1008"/>
      <c r="AE55" s="1008"/>
      <c r="AF55" s="1008"/>
      <c r="AG55" s="1008"/>
      <c r="AH55" s="1008"/>
      <c r="AI55" s="1008"/>
      <c r="AJ55" s="1008"/>
      <c r="AK55" s="1008"/>
      <c r="AL55" s="1008">
        <f>700000000+2104013680</f>
        <v>2804013680</v>
      </c>
      <c r="AM55" s="1008"/>
      <c r="AN55" s="1008"/>
      <c r="AO55" s="1008"/>
      <c r="AP55" s="1008"/>
      <c r="AQ55" s="1008"/>
      <c r="AR55" s="1008"/>
      <c r="AS55" s="1008"/>
      <c r="AU55" s="1011">
        <f t="shared" si="3"/>
        <v>0.64284704167349138</v>
      </c>
      <c r="AV55" s="1008">
        <f t="shared" si="34"/>
        <v>1802551899</v>
      </c>
      <c r="AW55" s="1008"/>
      <c r="AX55" s="1008"/>
      <c r="AY55" s="1008"/>
      <c r="AZ55" s="1008"/>
      <c r="BA55" s="1008"/>
      <c r="BB55" s="1008"/>
      <c r="BC55" s="1008"/>
      <c r="BD55" s="1008"/>
      <c r="BE55" s="1008"/>
      <c r="BF55" s="1008"/>
      <c r="BG55" s="1008"/>
      <c r="BH55" s="1008"/>
      <c r="BI55" s="1008">
        <f>+'[18]OCTUBRE 2015'!$V$2215</f>
        <v>1802551899</v>
      </c>
      <c r="BJ55" s="1008"/>
      <c r="BK55" s="1008"/>
      <c r="BL55" s="1008"/>
      <c r="BM55" s="1008"/>
      <c r="BN55" s="1008"/>
      <c r="BO55" s="1008"/>
      <c r="BP55" s="1008"/>
      <c r="BQ55" s="1011">
        <f t="shared" si="25"/>
        <v>0.35715295832650862</v>
      </c>
      <c r="BR55" s="1008">
        <f t="shared" si="35"/>
        <v>1001461781</v>
      </c>
      <c r="BS55" s="1008">
        <f t="shared" si="36"/>
        <v>0</v>
      </c>
      <c r="BT55" s="1008">
        <f t="shared" si="52"/>
        <v>0</v>
      </c>
      <c r="BU55" s="1008">
        <f t="shared" si="52"/>
        <v>0</v>
      </c>
      <c r="BV55" s="1008">
        <f t="shared" si="52"/>
        <v>0</v>
      </c>
      <c r="BW55" s="1008"/>
      <c r="BX55" s="1008">
        <f t="shared" si="38"/>
        <v>0</v>
      </c>
      <c r="BY55" s="1008">
        <f t="shared" si="38"/>
        <v>0</v>
      </c>
      <c r="BZ55" s="1008"/>
      <c r="CA55" s="1008"/>
      <c r="CB55" s="1008">
        <f>+AI55-BG55</f>
        <v>0</v>
      </c>
      <c r="CC55" s="1008"/>
      <c r="CD55" s="1008">
        <f t="shared" ref="CD55:CF58" si="54">+AK55-BH55</f>
        <v>0</v>
      </c>
      <c r="CE55" s="1008">
        <f t="shared" si="54"/>
        <v>1001461781</v>
      </c>
      <c r="CF55" s="1008">
        <f t="shared" si="54"/>
        <v>0</v>
      </c>
      <c r="CG55" s="1008"/>
      <c r="CH55" s="1008">
        <f t="shared" ref="CH55:CI58" si="55">+AO55-BL55</f>
        <v>0</v>
      </c>
      <c r="CI55" s="1008">
        <f t="shared" si="55"/>
        <v>0</v>
      </c>
      <c r="CJ55" s="1008"/>
      <c r="CK55" s="1008"/>
      <c r="CL55" s="1008">
        <f t="shared" si="41"/>
        <v>0</v>
      </c>
      <c r="CM55" s="1011">
        <f t="shared" si="13"/>
        <v>0.36940667743104594</v>
      </c>
      <c r="CN55" s="1008">
        <f t="shared" si="42"/>
        <v>1035821377</v>
      </c>
      <c r="CO55" s="1008"/>
      <c r="CP55" s="1008"/>
      <c r="CQ55" s="1008"/>
      <c r="CR55" s="1008"/>
      <c r="CS55" s="1008"/>
      <c r="CT55" s="1008"/>
      <c r="CU55" s="1008"/>
      <c r="CV55" s="1008"/>
      <c r="CW55" s="1008"/>
      <c r="CX55" s="1008"/>
      <c r="CY55" s="1008"/>
      <c r="CZ55" s="1008"/>
      <c r="DA55" s="1008">
        <f>+'[18]OCTUBRE 2015'!$H$2213</f>
        <v>1035821377</v>
      </c>
      <c r="DB55" s="1008"/>
      <c r="DC55" s="1008"/>
      <c r="DD55" s="1008"/>
      <c r="DE55" s="1008"/>
      <c r="DF55" s="1008"/>
      <c r="DG55" s="1008"/>
      <c r="DH55" s="1008"/>
      <c r="DI55" s="1011">
        <f t="shared" si="15"/>
        <v>0.63059332256895406</v>
      </c>
      <c r="DJ55" s="1008">
        <f t="shared" si="43"/>
        <v>1768192303</v>
      </c>
      <c r="DK55" s="1008"/>
      <c r="DL55" s="1008"/>
      <c r="DM55" s="1008"/>
      <c r="DN55" s="1008">
        <f t="shared" si="51"/>
        <v>0</v>
      </c>
      <c r="DO55" s="1008"/>
      <c r="DP55" s="1008">
        <f t="shared" si="45"/>
        <v>0</v>
      </c>
      <c r="DQ55" s="1008">
        <f t="shared" si="45"/>
        <v>0</v>
      </c>
      <c r="DR55" s="1008"/>
      <c r="DS55" s="1008">
        <f t="shared" si="46"/>
        <v>0</v>
      </c>
      <c r="DT55" s="1008">
        <f t="shared" si="46"/>
        <v>0</v>
      </c>
      <c r="DU55" s="1008"/>
      <c r="DV55" s="1008">
        <f t="shared" si="47"/>
        <v>0</v>
      </c>
      <c r="DW55" s="1008">
        <f t="shared" si="47"/>
        <v>1768192303</v>
      </c>
      <c r="DX55" s="1008">
        <f t="shared" si="47"/>
        <v>0</v>
      </c>
      <c r="DY55" s="1008">
        <f t="shared" si="48"/>
        <v>0</v>
      </c>
      <c r="DZ55" s="1008">
        <f t="shared" si="48"/>
        <v>0</v>
      </c>
      <c r="EA55" s="1008">
        <f t="shared" si="48"/>
        <v>0</v>
      </c>
      <c r="EB55" s="1008">
        <f t="shared" si="48"/>
        <v>0</v>
      </c>
      <c r="EC55" s="1008"/>
      <c r="ED55" s="1008">
        <f t="shared" si="49"/>
        <v>0</v>
      </c>
    </row>
    <row r="56" spans="1:135" ht="46.5" hidden="1" customHeight="1" x14ac:dyDescent="0.25">
      <c r="A56" s="1562"/>
      <c r="B56" s="1019" t="s">
        <v>4313</v>
      </c>
      <c r="C56" s="1116" t="s">
        <v>4388</v>
      </c>
      <c r="D56" s="1019" t="s">
        <v>4611</v>
      </c>
      <c r="E56" s="1020">
        <v>410</v>
      </c>
      <c r="F56" s="1120" t="s">
        <v>3350</v>
      </c>
      <c r="G56" s="1399">
        <v>50000000</v>
      </c>
      <c r="H56" s="1061">
        <f t="shared" si="31"/>
        <v>35000000</v>
      </c>
      <c r="I56" s="1061">
        <f t="shared" si="32"/>
        <v>0</v>
      </c>
      <c r="J56" s="1120" t="s">
        <v>4832</v>
      </c>
      <c r="K56" s="1115" t="s">
        <v>4833</v>
      </c>
      <c r="L56" s="1115" t="s">
        <v>4834</v>
      </c>
      <c r="M56" s="1115">
        <v>73</v>
      </c>
      <c r="N56" s="1115">
        <v>0</v>
      </c>
      <c r="O56" s="1115">
        <v>0</v>
      </c>
      <c r="P56" s="1115">
        <v>85</v>
      </c>
      <c r="Q56" s="1115">
        <v>50</v>
      </c>
      <c r="R56" s="1115">
        <v>42</v>
      </c>
      <c r="S56" s="1120"/>
      <c r="T56" s="1120"/>
      <c r="U56" s="1120"/>
      <c r="V56" s="1120"/>
      <c r="W56" s="1120"/>
      <c r="X56" s="1120"/>
      <c r="Y56" s="1008">
        <f t="shared" si="33"/>
        <v>35000000</v>
      </c>
      <c r="Z56" s="944"/>
      <c r="AA56" s="1008"/>
      <c r="AB56" s="1008"/>
      <c r="AC56" s="1008"/>
      <c r="AD56" s="1008"/>
      <c r="AE56" s="1008">
        <v>35000000</v>
      </c>
      <c r="AF56" s="1008"/>
      <c r="AG56" s="1008"/>
      <c r="AH56" s="1008"/>
      <c r="AI56" s="1008"/>
      <c r="AJ56" s="1008"/>
      <c r="AK56" s="1008"/>
      <c r="AL56" s="1008"/>
      <c r="AM56" s="1008"/>
      <c r="AN56" s="1008"/>
      <c r="AO56" s="1008"/>
      <c r="AP56" s="1008"/>
      <c r="AQ56" s="1008"/>
      <c r="AR56" s="1008"/>
      <c r="AS56" s="1008"/>
      <c r="AU56" s="1011">
        <f t="shared" si="3"/>
        <v>1</v>
      </c>
      <c r="AV56" s="1008">
        <f t="shared" si="34"/>
        <v>35000000</v>
      </c>
      <c r="AW56" s="1008"/>
      <c r="AX56" s="1008"/>
      <c r="AY56" s="1008"/>
      <c r="AZ56" s="1008"/>
      <c r="BA56" s="1008"/>
      <c r="BB56" s="1008">
        <f>+'[9]FEBRERO 2015'!$N$658</f>
        <v>35000000</v>
      </c>
      <c r="BC56" s="1008"/>
      <c r="BD56" s="1008"/>
      <c r="BE56" s="1008"/>
      <c r="BF56" s="1008"/>
      <c r="BG56" s="1008"/>
      <c r="BH56" s="1008"/>
      <c r="BI56" s="1008"/>
      <c r="BJ56" s="1008"/>
      <c r="BK56" s="1008"/>
      <c r="BL56" s="1008"/>
      <c r="BM56" s="1008"/>
      <c r="BN56" s="1008"/>
      <c r="BO56" s="1008"/>
      <c r="BP56" s="1008"/>
      <c r="BQ56" s="1011">
        <f t="shared" si="25"/>
        <v>0</v>
      </c>
      <c r="BR56" s="1008">
        <f t="shared" si="35"/>
        <v>0</v>
      </c>
      <c r="BS56" s="1008">
        <f t="shared" si="36"/>
        <v>0</v>
      </c>
      <c r="BT56" s="1008">
        <f t="shared" si="52"/>
        <v>0</v>
      </c>
      <c r="BU56" s="1008">
        <f t="shared" si="52"/>
        <v>0</v>
      </c>
      <c r="BV56" s="1008">
        <f t="shared" si="52"/>
        <v>0</v>
      </c>
      <c r="BW56" s="1008"/>
      <c r="BX56" s="1008">
        <f t="shared" si="38"/>
        <v>0</v>
      </c>
      <c r="BY56" s="1008">
        <f t="shared" si="38"/>
        <v>0</v>
      </c>
      <c r="BZ56" s="1008"/>
      <c r="CA56" s="1008">
        <f>+AH56-BE56</f>
        <v>0</v>
      </c>
      <c r="CB56" s="1008">
        <f>+AI56-BF56</f>
        <v>0</v>
      </c>
      <c r="CC56" s="1008">
        <f>+AJ56-BG56</f>
        <v>0</v>
      </c>
      <c r="CD56" s="1008">
        <f t="shared" si="54"/>
        <v>0</v>
      </c>
      <c r="CE56" s="1008">
        <f t="shared" si="54"/>
        <v>0</v>
      </c>
      <c r="CF56" s="1008">
        <f t="shared" si="54"/>
        <v>0</v>
      </c>
      <c r="CG56" s="1008">
        <f>+AN56-BK56</f>
        <v>0</v>
      </c>
      <c r="CH56" s="1008">
        <f t="shared" si="55"/>
        <v>0</v>
      </c>
      <c r="CI56" s="1008">
        <f t="shared" si="55"/>
        <v>0</v>
      </c>
      <c r="CJ56" s="1008">
        <f>+AQ56-BN56</f>
        <v>0</v>
      </c>
      <c r="CK56" s="1008">
        <f>+AR56-BO56</f>
        <v>0</v>
      </c>
      <c r="CL56" s="1008">
        <f t="shared" si="41"/>
        <v>0</v>
      </c>
      <c r="CM56" s="1011">
        <f t="shared" si="13"/>
        <v>1</v>
      </c>
      <c r="CN56" s="1008">
        <f t="shared" si="42"/>
        <v>35000000</v>
      </c>
      <c r="CO56" s="1008"/>
      <c r="CP56" s="1008"/>
      <c r="CQ56" s="1008"/>
      <c r="CR56" s="1008"/>
      <c r="CS56" s="1008"/>
      <c r="CT56" s="1008">
        <f>+'[17]SEPTIEMBRE 2015'!$H$2273</f>
        <v>35000000</v>
      </c>
      <c r="CU56" s="1008"/>
      <c r="CV56" s="1008"/>
      <c r="CW56" s="1008"/>
      <c r="CX56" s="1008"/>
      <c r="CY56" s="1008"/>
      <c r="CZ56" s="1008"/>
      <c r="DA56" s="1008"/>
      <c r="DB56" s="1008"/>
      <c r="DC56" s="1008"/>
      <c r="DD56" s="1008"/>
      <c r="DE56" s="1008"/>
      <c r="DF56" s="1008"/>
      <c r="DG56" s="1008"/>
      <c r="DH56" s="1008"/>
      <c r="DI56" s="1011">
        <f t="shared" si="15"/>
        <v>0</v>
      </c>
      <c r="DJ56" s="1008">
        <f t="shared" si="43"/>
        <v>0</v>
      </c>
      <c r="DK56" s="1008"/>
      <c r="DL56" s="1008"/>
      <c r="DM56" s="1008"/>
      <c r="DN56" s="1008">
        <f t="shared" si="51"/>
        <v>0</v>
      </c>
      <c r="DO56" s="1008"/>
      <c r="DP56" s="1008">
        <f t="shared" si="45"/>
        <v>0</v>
      </c>
      <c r="DQ56" s="1008">
        <f t="shared" si="45"/>
        <v>0</v>
      </c>
      <c r="DR56" s="1008"/>
      <c r="DS56" s="1008">
        <f t="shared" si="46"/>
        <v>0</v>
      </c>
      <c r="DT56" s="1008">
        <f t="shared" si="46"/>
        <v>0</v>
      </c>
      <c r="DU56" s="1008"/>
      <c r="DV56" s="1008">
        <f t="shared" si="47"/>
        <v>0</v>
      </c>
      <c r="DW56" s="1008">
        <f t="shared" si="47"/>
        <v>0</v>
      </c>
      <c r="DX56" s="1008">
        <f t="shared" si="47"/>
        <v>0</v>
      </c>
      <c r="DY56" s="1008">
        <f t="shared" si="48"/>
        <v>0</v>
      </c>
      <c r="DZ56" s="1008">
        <f t="shared" si="48"/>
        <v>0</v>
      </c>
      <c r="EA56" s="1008">
        <f t="shared" si="48"/>
        <v>0</v>
      </c>
      <c r="EB56" s="1008">
        <f t="shared" si="48"/>
        <v>0</v>
      </c>
      <c r="EC56" s="1008"/>
      <c r="ED56" s="1008">
        <f t="shared" si="49"/>
        <v>0</v>
      </c>
    </row>
    <row r="57" spans="1:135" ht="35.25" hidden="1" customHeight="1" x14ac:dyDescent="0.25">
      <c r="A57" s="1562"/>
      <c r="B57" s="1019"/>
      <c r="C57" s="1116" t="s">
        <v>4556</v>
      </c>
      <c r="D57" s="1019" t="s">
        <v>4612</v>
      </c>
      <c r="E57" s="1020">
        <v>410</v>
      </c>
      <c r="F57" s="1120" t="s">
        <v>3350</v>
      </c>
      <c r="G57" s="1401"/>
      <c r="H57" s="1061">
        <f t="shared" si="31"/>
        <v>14594526</v>
      </c>
      <c r="I57" s="1061">
        <f t="shared" si="32"/>
        <v>405474</v>
      </c>
      <c r="J57" s="1120" t="s">
        <v>4832</v>
      </c>
      <c r="K57" s="1115" t="s">
        <v>4833</v>
      </c>
      <c r="L57" s="1115" t="s">
        <v>4834</v>
      </c>
      <c r="M57" s="1115">
        <v>0</v>
      </c>
      <c r="N57" s="1115">
        <v>100</v>
      </c>
      <c r="O57" s="1115">
        <v>0</v>
      </c>
      <c r="P57" s="1115">
        <v>47</v>
      </c>
      <c r="Q57" s="1115">
        <v>50</v>
      </c>
      <c r="R57" s="1115">
        <v>23</v>
      </c>
      <c r="S57" s="1120"/>
      <c r="T57" s="1120"/>
      <c r="U57" s="1120"/>
      <c r="V57" s="1120"/>
      <c r="W57" s="1120"/>
      <c r="X57" s="1120"/>
      <c r="Y57" s="1008">
        <f t="shared" si="33"/>
        <v>15000000</v>
      </c>
      <c r="Z57" s="944"/>
      <c r="AA57" s="1008"/>
      <c r="AB57" s="1008"/>
      <c r="AC57" s="1008"/>
      <c r="AD57" s="1008"/>
      <c r="AE57" s="1008">
        <v>15000000</v>
      </c>
      <c r="AF57" s="1008"/>
      <c r="AG57" s="1008"/>
      <c r="AH57" s="1008"/>
      <c r="AI57" s="1008"/>
      <c r="AJ57" s="1008"/>
      <c r="AK57" s="1008"/>
      <c r="AL57" s="1008"/>
      <c r="AM57" s="1008"/>
      <c r="AN57" s="1008"/>
      <c r="AO57" s="1008"/>
      <c r="AP57" s="1008"/>
      <c r="AQ57" s="1008"/>
      <c r="AR57" s="1008"/>
      <c r="AS57" s="1008"/>
      <c r="AU57" s="1011">
        <f t="shared" si="3"/>
        <v>0.97296839999999996</v>
      </c>
      <c r="AV57" s="1008">
        <f t="shared" si="34"/>
        <v>14594526</v>
      </c>
      <c r="AW57" s="1008"/>
      <c r="AX57" s="1008"/>
      <c r="AY57" s="1008"/>
      <c r="AZ57" s="1008"/>
      <c r="BA57" s="1008"/>
      <c r="BB57" s="1008">
        <f>+'[18]OCTUBRE 2015'!$O$2659</f>
        <v>14594526</v>
      </c>
      <c r="BC57" s="1008"/>
      <c r="BD57" s="1008"/>
      <c r="BE57" s="1008"/>
      <c r="BF57" s="1008"/>
      <c r="BG57" s="1008"/>
      <c r="BH57" s="1008"/>
      <c r="BI57" s="1008"/>
      <c r="BJ57" s="1008"/>
      <c r="BK57" s="1008"/>
      <c r="BL57" s="1008"/>
      <c r="BM57" s="1008"/>
      <c r="BN57" s="1008"/>
      <c r="BO57" s="1008"/>
      <c r="BP57" s="1008"/>
      <c r="BQ57" s="1011">
        <f t="shared" si="25"/>
        <v>2.7031600000000044E-2</v>
      </c>
      <c r="BR57" s="1008">
        <f t="shared" si="35"/>
        <v>405474</v>
      </c>
      <c r="BS57" s="1008">
        <f t="shared" si="36"/>
        <v>0</v>
      </c>
      <c r="BT57" s="1008"/>
      <c r="BU57" s="1008">
        <f t="shared" si="52"/>
        <v>0</v>
      </c>
      <c r="BV57" s="1008">
        <f t="shared" si="52"/>
        <v>0</v>
      </c>
      <c r="BW57" s="1008"/>
      <c r="BX57" s="1008">
        <f t="shared" si="38"/>
        <v>405474</v>
      </c>
      <c r="BY57" s="1008">
        <f t="shared" si="38"/>
        <v>0</v>
      </c>
      <c r="BZ57" s="1008"/>
      <c r="CA57" s="1008"/>
      <c r="CB57" s="1008">
        <f>+AI57-BF57</f>
        <v>0</v>
      </c>
      <c r="CC57" s="1008"/>
      <c r="CD57" s="1008">
        <f t="shared" si="54"/>
        <v>0</v>
      </c>
      <c r="CE57" s="1008">
        <f t="shared" si="54"/>
        <v>0</v>
      </c>
      <c r="CF57" s="1008">
        <f t="shared" si="54"/>
        <v>0</v>
      </c>
      <c r="CG57" s="1008">
        <f>+AN57-BK57</f>
        <v>0</v>
      </c>
      <c r="CH57" s="1008">
        <f t="shared" si="55"/>
        <v>0</v>
      </c>
      <c r="CI57" s="1008">
        <f t="shared" si="55"/>
        <v>0</v>
      </c>
      <c r="CJ57" s="1008"/>
      <c r="CK57" s="1008"/>
      <c r="CL57" s="1008">
        <f t="shared" si="41"/>
        <v>0</v>
      </c>
      <c r="CM57" s="1011">
        <f t="shared" si="13"/>
        <v>0.97296839999999996</v>
      </c>
      <c r="CN57" s="1008">
        <f t="shared" si="42"/>
        <v>14594526</v>
      </c>
      <c r="CO57" s="1008"/>
      <c r="CP57" s="1008"/>
      <c r="CQ57" s="1008"/>
      <c r="CR57" s="1008"/>
      <c r="CS57" s="1008"/>
      <c r="CT57" s="1008">
        <f>+'[17]SEPTIEMBRE 2015'!$H$2283</f>
        <v>14594526</v>
      </c>
      <c r="CU57" s="1008"/>
      <c r="CV57" s="1008"/>
      <c r="CW57" s="1008"/>
      <c r="CX57" s="1008"/>
      <c r="CY57" s="1008"/>
      <c r="CZ57" s="1008"/>
      <c r="DA57" s="1008"/>
      <c r="DB57" s="1008"/>
      <c r="DC57" s="1008"/>
      <c r="DD57" s="1008"/>
      <c r="DE57" s="1008"/>
      <c r="DF57" s="1008"/>
      <c r="DG57" s="1008"/>
      <c r="DH57" s="1008"/>
      <c r="DI57" s="1011">
        <f t="shared" si="15"/>
        <v>2.7031600000000044E-2</v>
      </c>
      <c r="DJ57" s="1008">
        <f t="shared" si="43"/>
        <v>405474</v>
      </c>
      <c r="DK57" s="1008"/>
      <c r="DL57" s="1008"/>
      <c r="DM57" s="1008"/>
      <c r="DN57" s="1008">
        <f t="shared" si="51"/>
        <v>0</v>
      </c>
      <c r="DO57" s="1008"/>
      <c r="DP57" s="1008">
        <f t="shared" si="45"/>
        <v>405474</v>
      </c>
      <c r="DQ57" s="1008">
        <f t="shared" si="45"/>
        <v>0</v>
      </c>
      <c r="DR57" s="1008"/>
      <c r="DS57" s="1008">
        <f t="shared" si="46"/>
        <v>0</v>
      </c>
      <c r="DT57" s="1008">
        <f t="shared" si="46"/>
        <v>0</v>
      </c>
      <c r="DU57" s="1008"/>
      <c r="DV57" s="1008">
        <f t="shared" si="47"/>
        <v>0</v>
      </c>
      <c r="DW57" s="1008">
        <f t="shared" si="47"/>
        <v>0</v>
      </c>
      <c r="DX57" s="1008">
        <f t="shared" si="47"/>
        <v>0</v>
      </c>
      <c r="DY57" s="1008">
        <f t="shared" si="48"/>
        <v>0</v>
      </c>
      <c r="DZ57" s="1008">
        <f t="shared" si="48"/>
        <v>0</v>
      </c>
      <c r="EA57" s="1008">
        <f t="shared" si="48"/>
        <v>0</v>
      </c>
      <c r="EB57" s="1008">
        <f t="shared" si="48"/>
        <v>0</v>
      </c>
      <c r="EC57" s="1008"/>
      <c r="ED57" s="1008">
        <f t="shared" si="49"/>
        <v>0</v>
      </c>
    </row>
    <row r="58" spans="1:135" ht="42.75" hidden="1" customHeight="1" x14ac:dyDescent="0.25">
      <c r="A58" s="1562"/>
      <c r="B58" s="1019" t="s">
        <v>4314</v>
      </c>
      <c r="C58" s="1116" t="s">
        <v>4389</v>
      </c>
      <c r="D58" s="1019" t="s">
        <v>4328</v>
      </c>
      <c r="E58" s="1020">
        <v>410</v>
      </c>
      <c r="F58" s="1120" t="s">
        <v>4590</v>
      </c>
      <c r="G58" s="1399">
        <v>291000000</v>
      </c>
      <c r="H58" s="1061">
        <f t="shared" si="31"/>
        <v>129011140</v>
      </c>
      <c r="I58" s="1061">
        <f t="shared" si="32"/>
        <v>214252150</v>
      </c>
      <c r="J58" s="1399" t="s">
        <v>4835</v>
      </c>
      <c r="K58" s="1283" t="s">
        <v>4836</v>
      </c>
      <c r="L58" s="1283" t="s">
        <v>4837</v>
      </c>
      <c r="M58" s="1115">
        <v>5</v>
      </c>
      <c r="N58" s="1115">
        <v>100</v>
      </c>
      <c r="O58" s="1115">
        <v>5</v>
      </c>
      <c r="P58" s="1115">
        <v>27</v>
      </c>
      <c r="Q58" s="1115">
        <v>300</v>
      </c>
      <c r="R58" s="1115">
        <v>82</v>
      </c>
      <c r="S58" s="1120"/>
      <c r="T58" s="1120"/>
      <c r="U58" s="1120"/>
      <c r="V58" s="1120"/>
      <c r="W58" s="1120"/>
      <c r="X58" s="1120"/>
      <c r="Y58" s="1008">
        <f t="shared" si="33"/>
        <v>343263290</v>
      </c>
      <c r="Z58" s="944"/>
      <c r="AA58" s="1008"/>
      <c r="AB58" s="1008"/>
      <c r="AC58" s="1008">
        <f>181000000-87736710+250000000</f>
        <v>343263290</v>
      </c>
      <c r="AD58" s="1008"/>
      <c r="AE58" s="1008">
        <f>100000000-100000000</f>
        <v>0</v>
      </c>
      <c r="AF58" s="1008"/>
      <c r="AG58" s="1008"/>
      <c r="AH58" s="1008"/>
      <c r="AI58" s="1008"/>
      <c r="AJ58" s="1008"/>
      <c r="AK58" s="1008"/>
      <c r="AL58" s="1008"/>
      <c r="AM58" s="1008"/>
      <c r="AN58" s="1008"/>
      <c r="AO58" s="1008"/>
      <c r="AP58" s="1008"/>
      <c r="AQ58" s="1008"/>
      <c r="AR58" s="1008"/>
      <c r="AS58" s="1008">
        <f>10455882-10455882</f>
        <v>0</v>
      </c>
      <c r="AU58" s="1011">
        <f t="shared" si="3"/>
        <v>1</v>
      </c>
      <c r="AV58" s="1008">
        <f t="shared" si="34"/>
        <v>343263290</v>
      </c>
      <c r="AW58" s="1008"/>
      <c r="AX58" s="1008"/>
      <c r="AY58" s="1008"/>
      <c r="AZ58" s="1008">
        <f>+'[14]JUNIO 2015'!$M$1391</f>
        <v>343263290</v>
      </c>
      <c r="BA58" s="1008"/>
      <c r="BB58" s="1008"/>
      <c r="BC58" s="1008"/>
      <c r="BD58" s="1008"/>
      <c r="BE58" s="1008"/>
      <c r="BF58" s="1008"/>
      <c r="BG58" s="1008"/>
      <c r="BH58" s="1008"/>
      <c r="BI58" s="1008"/>
      <c r="BJ58" s="1008"/>
      <c r="BK58" s="1008"/>
      <c r="BL58" s="1008"/>
      <c r="BM58" s="1008"/>
      <c r="BN58" s="1008"/>
      <c r="BO58" s="1008"/>
      <c r="BP58" s="1008"/>
      <c r="BQ58" s="1011">
        <f t="shared" si="25"/>
        <v>0</v>
      </c>
      <c r="BR58" s="1008">
        <f t="shared" si="35"/>
        <v>0</v>
      </c>
      <c r="BS58" s="1008">
        <f t="shared" si="36"/>
        <v>0</v>
      </c>
      <c r="BT58" s="1008"/>
      <c r="BU58" s="1008">
        <f t="shared" si="52"/>
        <v>0</v>
      </c>
      <c r="BV58" s="1008">
        <f t="shared" si="52"/>
        <v>0</v>
      </c>
      <c r="BW58" s="1008"/>
      <c r="BX58" s="1008">
        <f t="shared" si="38"/>
        <v>0</v>
      </c>
      <c r="BY58" s="1008">
        <f t="shared" si="38"/>
        <v>0</v>
      </c>
      <c r="BZ58" s="1008"/>
      <c r="CA58" s="1008"/>
      <c r="CB58" s="1008">
        <f>+AI58-BF58</f>
        <v>0</v>
      </c>
      <c r="CC58" s="1008"/>
      <c r="CD58" s="1008">
        <f t="shared" si="54"/>
        <v>0</v>
      </c>
      <c r="CE58" s="1008">
        <f t="shared" si="54"/>
        <v>0</v>
      </c>
      <c r="CF58" s="1008">
        <f t="shared" si="54"/>
        <v>0</v>
      </c>
      <c r="CG58" s="1008">
        <f>+AN58-BK58</f>
        <v>0</v>
      </c>
      <c r="CH58" s="1008">
        <f t="shared" si="55"/>
        <v>0</v>
      </c>
      <c r="CI58" s="1008">
        <f t="shared" si="55"/>
        <v>0</v>
      </c>
      <c r="CJ58" s="1008"/>
      <c r="CK58" s="1008"/>
      <c r="CL58" s="1008">
        <f t="shared" si="41"/>
        <v>0</v>
      </c>
      <c r="CM58" s="1011">
        <f t="shared" si="13"/>
        <v>0.37583727639503778</v>
      </c>
      <c r="CN58" s="1008">
        <f t="shared" si="42"/>
        <v>129011140</v>
      </c>
      <c r="CO58" s="1008"/>
      <c r="CP58" s="1008"/>
      <c r="CQ58" s="1008"/>
      <c r="CR58" s="1008">
        <f>+'[18]OCTUBRE 2015'!$H$2669+'[18]OCTUBRE 2015'!$H$2673</f>
        <v>129011140</v>
      </c>
      <c r="CS58" s="1008"/>
      <c r="CT58" s="1008"/>
      <c r="CU58" s="1008"/>
      <c r="CV58" s="1008"/>
      <c r="CW58" s="1008"/>
      <c r="CX58" s="1008"/>
      <c r="CY58" s="1008"/>
      <c r="CZ58" s="1008"/>
      <c r="DA58" s="1008"/>
      <c r="DB58" s="1008"/>
      <c r="DC58" s="1008"/>
      <c r="DD58" s="1008"/>
      <c r="DE58" s="1008"/>
      <c r="DF58" s="1008"/>
      <c r="DG58" s="1008"/>
      <c r="DH58" s="1008"/>
      <c r="DI58" s="1011">
        <f t="shared" si="15"/>
        <v>0.62416272360496228</v>
      </c>
      <c r="DJ58" s="1008">
        <f t="shared" si="43"/>
        <v>214252150</v>
      </c>
      <c r="DK58" s="1008"/>
      <c r="DL58" s="1008"/>
      <c r="DM58" s="1008"/>
      <c r="DN58" s="1008">
        <f t="shared" si="51"/>
        <v>214252150</v>
      </c>
      <c r="DO58" s="1008"/>
      <c r="DP58" s="1008">
        <f t="shared" si="45"/>
        <v>0</v>
      </c>
      <c r="DQ58" s="1008">
        <f t="shared" si="45"/>
        <v>0</v>
      </c>
      <c r="DR58" s="1008"/>
      <c r="DS58" s="1008">
        <f t="shared" si="46"/>
        <v>0</v>
      </c>
      <c r="DT58" s="1008">
        <f t="shared" si="46"/>
        <v>0</v>
      </c>
      <c r="DU58" s="1008"/>
      <c r="DV58" s="1008">
        <f t="shared" si="47"/>
        <v>0</v>
      </c>
      <c r="DW58" s="1008">
        <f t="shared" si="47"/>
        <v>0</v>
      </c>
      <c r="DX58" s="1008">
        <f t="shared" si="47"/>
        <v>0</v>
      </c>
      <c r="DY58" s="1008">
        <f t="shared" si="48"/>
        <v>0</v>
      </c>
      <c r="DZ58" s="1008">
        <f t="shared" si="48"/>
        <v>0</v>
      </c>
      <c r="EA58" s="1008">
        <f t="shared" si="48"/>
        <v>0</v>
      </c>
      <c r="EB58" s="1008">
        <f t="shared" si="48"/>
        <v>0</v>
      </c>
      <c r="EC58" s="1008"/>
      <c r="ED58" s="1008">
        <f t="shared" si="49"/>
        <v>0</v>
      </c>
    </row>
    <row r="59" spans="1:135" s="203" customFormat="1" ht="37.5" hidden="1" customHeight="1" x14ac:dyDescent="0.25">
      <c r="A59" s="1562"/>
      <c r="B59" s="1019"/>
      <c r="C59" s="1081" t="s">
        <v>4719</v>
      </c>
      <c r="D59" s="1019" t="s">
        <v>4720</v>
      </c>
      <c r="E59" s="1020">
        <v>410</v>
      </c>
      <c r="F59" s="1120" t="s">
        <v>4670</v>
      </c>
      <c r="G59" s="1401"/>
      <c r="H59" s="1061">
        <f t="shared" si="31"/>
        <v>0</v>
      </c>
      <c r="I59" s="1061">
        <f t="shared" si="32"/>
        <v>2000000</v>
      </c>
      <c r="J59" s="1401"/>
      <c r="K59" s="1284"/>
      <c r="L59" s="1284"/>
      <c r="M59" s="1083"/>
      <c r="N59" s="1083"/>
      <c r="O59" s="1083"/>
      <c r="P59" s="1075"/>
      <c r="Q59" s="1075"/>
      <c r="R59" s="1075"/>
      <c r="S59" s="1120"/>
      <c r="T59" s="1120"/>
      <c r="U59" s="1120"/>
      <c r="V59" s="1120"/>
      <c r="W59" s="1120"/>
      <c r="X59" s="1120"/>
      <c r="Y59" s="1067">
        <f t="shared" si="33"/>
        <v>2000000</v>
      </c>
      <c r="Z59" s="149"/>
      <c r="AA59" s="1084"/>
      <c r="AB59" s="1084"/>
      <c r="AC59" s="1067"/>
      <c r="AD59" s="1067"/>
      <c r="AE59" s="1084"/>
      <c r="AF59" s="1067"/>
      <c r="AG59" s="1067"/>
      <c r="AH59" s="1067"/>
      <c r="AI59" s="1067"/>
      <c r="AJ59" s="1067"/>
      <c r="AK59" s="1067"/>
      <c r="AL59" s="1067"/>
      <c r="AM59" s="1067"/>
      <c r="AN59" s="1067"/>
      <c r="AO59" s="1067"/>
      <c r="AP59" s="1067"/>
      <c r="AQ59" s="1067"/>
      <c r="AR59" s="1067"/>
      <c r="AS59" s="1067">
        <f>2000000</f>
        <v>2000000</v>
      </c>
      <c r="AU59" s="1082">
        <f t="shared" si="3"/>
        <v>1</v>
      </c>
      <c r="AV59" s="1067">
        <f t="shared" si="34"/>
        <v>2000000</v>
      </c>
      <c r="AW59" s="1067"/>
      <c r="AX59" s="1067"/>
      <c r="AY59" s="1067"/>
      <c r="AZ59" s="1067"/>
      <c r="BA59" s="1067"/>
      <c r="BB59" s="1067"/>
      <c r="BC59" s="1067"/>
      <c r="BD59" s="1067"/>
      <c r="BE59" s="1067"/>
      <c r="BF59" s="1067"/>
      <c r="BG59" s="1067"/>
      <c r="BH59" s="1067"/>
      <c r="BI59" s="1067"/>
      <c r="BJ59" s="1067"/>
      <c r="BK59" s="1067"/>
      <c r="BL59" s="1067"/>
      <c r="BM59" s="1067"/>
      <c r="BN59" s="1067"/>
      <c r="BO59" s="1067"/>
      <c r="BP59" s="1067">
        <f>+'[15]JULIO 2015'!$G$1634</f>
        <v>2000000</v>
      </c>
      <c r="BQ59" s="1082">
        <f t="shared" si="25"/>
        <v>0</v>
      </c>
      <c r="BR59" s="1067">
        <f t="shared" si="35"/>
        <v>0</v>
      </c>
      <c r="BS59" s="1067"/>
      <c r="BT59" s="1067"/>
      <c r="BU59" s="1067">
        <f t="shared" si="52"/>
        <v>0</v>
      </c>
      <c r="BV59" s="1067"/>
      <c r="BW59" s="1067"/>
      <c r="BX59" s="1067"/>
      <c r="BY59" s="1067"/>
      <c r="BZ59" s="1067"/>
      <c r="CA59" s="1067"/>
      <c r="CB59" s="1067"/>
      <c r="CC59" s="1067"/>
      <c r="CD59" s="1067"/>
      <c r="CE59" s="1067"/>
      <c r="CF59" s="1067"/>
      <c r="CG59" s="1067"/>
      <c r="CH59" s="1067"/>
      <c r="CI59" s="1067"/>
      <c r="CJ59" s="1067"/>
      <c r="CK59" s="1067"/>
      <c r="CL59" s="1067">
        <f t="shared" si="41"/>
        <v>0</v>
      </c>
      <c r="CM59" s="1082">
        <f t="shared" si="13"/>
        <v>0</v>
      </c>
      <c r="CN59" s="1067">
        <f t="shared" si="42"/>
        <v>0</v>
      </c>
      <c r="CO59" s="1067"/>
      <c r="CP59" s="1067"/>
      <c r="CQ59" s="1067"/>
      <c r="CR59" s="1067"/>
      <c r="CS59" s="1067"/>
      <c r="CT59" s="1067"/>
      <c r="CU59" s="1067"/>
      <c r="CV59" s="1067"/>
      <c r="CW59" s="1067"/>
      <c r="CX59" s="1067"/>
      <c r="CY59" s="1067"/>
      <c r="CZ59" s="1067"/>
      <c r="DA59" s="1067"/>
      <c r="DB59" s="1067"/>
      <c r="DC59" s="1067"/>
      <c r="DD59" s="1067"/>
      <c r="DE59" s="1067"/>
      <c r="DF59" s="1067"/>
      <c r="DG59" s="1067"/>
      <c r="DH59" s="1067"/>
      <c r="DI59" s="1082">
        <f t="shared" si="15"/>
        <v>1</v>
      </c>
      <c r="DJ59" s="1067">
        <f t="shared" si="43"/>
        <v>2000000</v>
      </c>
      <c r="DK59" s="1067"/>
      <c r="DL59" s="1067"/>
      <c r="DM59" s="1067"/>
      <c r="DN59" s="1067"/>
      <c r="DO59" s="1067"/>
      <c r="DP59" s="1067"/>
      <c r="DQ59" s="1067"/>
      <c r="DR59" s="1067"/>
      <c r="DS59" s="1067"/>
      <c r="DT59" s="1067"/>
      <c r="DU59" s="1067"/>
      <c r="DV59" s="1067"/>
      <c r="DW59" s="1067"/>
      <c r="DX59" s="1067"/>
      <c r="DY59" s="1067"/>
      <c r="DZ59" s="1067"/>
      <c r="EA59" s="1067"/>
      <c r="EB59" s="1067"/>
      <c r="EC59" s="1067"/>
      <c r="ED59" s="1067">
        <f t="shared" si="49"/>
        <v>2000000</v>
      </c>
    </row>
    <row r="60" spans="1:135" ht="33.75" hidden="1" customHeight="1" x14ac:dyDescent="0.25">
      <c r="A60" s="1562"/>
      <c r="B60" s="1019" t="s">
        <v>4315</v>
      </c>
      <c r="C60" s="1116" t="s">
        <v>4390</v>
      </c>
      <c r="D60" s="1019" t="s">
        <v>4329</v>
      </c>
      <c r="E60" s="1020">
        <v>410</v>
      </c>
      <c r="F60" s="1120" t="s">
        <v>3350</v>
      </c>
      <c r="G60" s="1120">
        <v>300000000</v>
      </c>
      <c r="H60" s="1061">
        <f t="shared" si="31"/>
        <v>214914190</v>
      </c>
      <c r="I60" s="1061">
        <f t="shared" si="32"/>
        <v>7904547</v>
      </c>
      <c r="J60" s="1120" t="s">
        <v>4838</v>
      </c>
      <c r="K60" s="1115" t="s">
        <v>4839</v>
      </c>
      <c r="L60" s="1115" t="s">
        <v>4838</v>
      </c>
      <c r="M60" s="1115">
        <v>23</v>
      </c>
      <c r="N60" s="1115">
        <v>100</v>
      </c>
      <c r="O60" s="1115">
        <v>23</v>
      </c>
      <c r="P60" s="1115">
        <v>78</v>
      </c>
      <c r="Q60" s="1115">
        <v>200</v>
      </c>
      <c r="R60" s="1115">
        <v>155</v>
      </c>
      <c r="S60" s="1120"/>
      <c r="T60" s="1120"/>
      <c r="U60" s="1120"/>
      <c r="V60" s="1120"/>
      <c r="W60" s="1120"/>
      <c r="X60" s="1120"/>
      <c r="Y60" s="1008">
        <f t="shared" si="33"/>
        <v>222818737</v>
      </c>
      <c r="Z60" s="944"/>
      <c r="AA60" s="1017">
        <f>55819123-55819123</f>
        <v>0</v>
      </c>
      <c r="AB60" s="1017"/>
      <c r="AC60" s="1008">
        <f>150000000-21362140</f>
        <v>128637860</v>
      </c>
      <c r="AD60" s="1008"/>
      <c r="AE60" s="1017">
        <f>150000000-55819123+20000000-20000000</f>
        <v>94180877</v>
      </c>
      <c r="AF60" s="944"/>
      <c r="AG60" s="944"/>
      <c r="AH60" s="944"/>
      <c r="AI60" s="1008"/>
      <c r="AJ60" s="1008"/>
      <c r="AK60" s="1008"/>
      <c r="AL60" s="1008"/>
      <c r="AM60" s="1008"/>
      <c r="AN60" s="1008"/>
      <c r="AO60" s="1008"/>
      <c r="AP60" s="1008"/>
      <c r="AQ60" s="1008"/>
      <c r="AR60" s="1008"/>
      <c r="AS60" s="1008"/>
      <c r="AU60" s="1011">
        <f t="shared" si="3"/>
        <v>0.9696859245728513</v>
      </c>
      <c r="AV60" s="1008">
        <f t="shared" si="34"/>
        <v>216064193</v>
      </c>
      <c r="AW60" s="1008"/>
      <c r="AX60" s="1008"/>
      <c r="AY60" s="1008"/>
      <c r="AZ60" s="1008">
        <f>+'[14]JUNIO 2015'!$M$1412</f>
        <v>128637860</v>
      </c>
      <c r="BA60" s="1008"/>
      <c r="BB60" s="1008">
        <f>+'[18]OCTUBRE 2015'!$O$2690</f>
        <v>87426333</v>
      </c>
      <c r="BC60" s="1008"/>
      <c r="BD60" s="1008"/>
      <c r="BE60" s="1008"/>
      <c r="BF60" s="1008"/>
      <c r="BG60" s="1008"/>
      <c r="BH60" s="1008"/>
      <c r="BI60" s="1008"/>
      <c r="BJ60" s="1008"/>
      <c r="BK60" s="1008"/>
      <c r="BL60" s="1008"/>
      <c r="BM60" s="1008"/>
      <c r="BN60" s="1008"/>
      <c r="BO60" s="1008"/>
      <c r="BP60" s="1008"/>
      <c r="BQ60" s="1011">
        <f t="shared" si="25"/>
        <v>3.0314075427148701E-2</v>
      </c>
      <c r="BR60" s="1008">
        <f t="shared" si="35"/>
        <v>6754544</v>
      </c>
      <c r="BS60" s="1008">
        <f t="shared" ref="BS60:BS66" si="56">+Z60-AW60</f>
        <v>0</v>
      </c>
      <c r="BT60" s="1008">
        <f>AA60-AX60</f>
        <v>0</v>
      </c>
      <c r="BU60" s="1008">
        <f t="shared" si="52"/>
        <v>0</v>
      </c>
      <c r="BV60" s="1008">
        <f t="shared" si="52"/>
        <v>0</v>
      </c>
      <c r="BW60" s="1008"/>
      <c r="BX60" s="1008">
        <f t="shared" ref="BX60:BY66" si="57">+AE60-BB60</f>
        <v>6754544</v>
      </c>
      <c r="BY60" s="1008">
        <f t="shared" si="57"/>
        <v>0</v>
      </c>
      <c r="BZ60" s="1008"/>
      <c r="CA60" s="1008"/>
      <c r="CB60" s="1008">
        <f t="shared" ref="CB60:CB66" si="58">+AI60-BF60</f>
        <v>0</v>
      </c>
      <c r="CC60" s="1008"/>
      <c r="CD60" s="1008">
        <f t="shared" ref="CD60:CI66" si="59">+AK60-BH60</f>
        <v>0</v>
      </c>
      <c r="CE60" s="1008">
        <f t="shared" si="59"/>
        <v>0</v>
      </c>
      <c r="CF60" s="1008">
        <f t="shared" si="59"/>
        <v>0</v>
      </c>
      <c r="CG60" s="1008">
        <f t="shared" si="59"/>
        <v>0</v>
      </c>
      <c r="CH60" s="1008">
        <f t="shared" si="59"/>
        <v>0</v>
      </c>
      <c r="CI60" s="1008">
        <f t="shared" si="59"/>
        <v>0</v>
      </c>
      <c r="CJ60" s="1008"/>
      <c r="CK60" s="1008"/>
      <c r="CL60" s="1008">
        <f t="shared" si="41"/>
        <v>0</v>
      </c>
      <c r="CM60" s="1011">
        <f t="shared" si="13"/>
        <v>0.96452476525795938</v>
      </c>
      <c r="CN60" s="1008">
        <f t="shared" si="42"/>
        <v>214914190</v>
      </c>
      <c r="CO60" s="1008"/>
      <c r="CP60" s="1008"/>
      <c r="CQ60" s="1008"/>
      <c r="CR60" s="1008">
        <f>+'[16]AGOSTO 2015'!$H$1852</f>
        <v>128637860</v>
      </c>
      <c r="CS60" s="1008"/>
      <c r="CT60" s="1008">
        <f>+'[17]SEPTIEMBRE 2015'!$H$2314+'[17]SEPTIEMBRE 2015'!$H$2332</f>
        <v>86276330</v>
      </c>
      <c r="CU60" s="1008"/>
      <c r="CV60" s="1008"/>
      <c r="CW60" s="1008"/>
      <c r="CX60" s="1008"/>
      <c r="CY60" s="1008"/>
      <c r="CZ60" s="1008"/>
      <c r="DA60" s="1008"/>
      <c r="DB60" s="1008"/>
      <c r="DC60" s="1008"/>
      <c r="DD60" s="1008"/>
      <c r="DE60" s="1008"/>
      <c r="DF60" s="1008"/>
      <c r="DG60" s="1008"/>
      <c r="DH60" s="1008"/>
      <c r="DI60" s="1011">
        <f t="shared" si="15"/>
        <v>3.5475234742040618E-2</v>
      </c>
      <c r="DJ60" s="1008">
        <f t="shared" si="43"/>
        <v>7904547</v>
      </c>
      <c r="DK60" s="1008"/>
      <c r="DL60" s="1008">
        <f>AA60-CP60</f>
        <v>0</v>
      </c>
      <c r="DM60" s="1008">
        <f>AB60-CQ60</f>
        <v>0</v>
      </c>
      <c r="DN60" s="1008">
        <f>AC60-CR60</f>
        <v>0</v>
      </c>
      <c r="DO60" s="1008"/>
      <c r="DP60" s="1008">
        <f t="shared" ref="DP60:DQ66" si="60">AE60-CT60</f>
        <v>7904547</v>
      </c>
      <c r="DQ60" s="1008">
        <f t="shared" si="60"/>
        <v>0</v>
      </c>
      <c r="DR60" s="1008"/>
      <c r="DS60" s="1008">
        <f t="shared" ref="DS60:DT66" si="61">+AH60-CW60</f>
        <v>0</v>
      </c>
      <c r="DT60" s="1008">
        <f t="shared" si="61"/>
        <v>0</v>
      </c>
      <c r="DU60" s="1008"/>
      <c r="DV60" s="1008">
        <f t="shared" ref="DV60:DX66" si="62">AK60-CZ60</f>
        <v>0</v>
      </c>
      <c r="DW60" s="1008">
        <f t="shared" si="62"/>
        <v>0</v>
      </c>
      <c r="DX60" s="1008">
        <f t="shared" si="62"/>
        <v>0</v>
      </c>
      <c r="DY60" s="1008">
        <f t="shared" ref="DY60:EB66" si="63">+AN60-DC60</f>
        <v>0</v>
      </c>
      <c r="DZ60" s="1008">
        <f t="shared" si="63"/>
        <v>0</v>
      </c>
      <c r="EA60" s="1008">
        <f t="shared" si="63"/>
        <v>0</v>
      </c>
      <c r="EB60" s="1008">
        <f t="shared" si="63"/>
        <v>0</v>
      </c>
      <c r="EC60" s="1008"/>
      <c r="ED60" s="1008">
        <f t="shared" si="49"/>
        <v>0</v>
      </c>
      <c r="EE60" s="948"/>
    </row>
    <row r="61" spans="1:135" ht="25.5" hidden="1" customHeight="1" x14ac:dyDescent="0.25">
      <c r="A61" s="1562"/>
      <c r="B61" s="1019" t="s">
        <v>4316</v>
      </c>
      <c r="C61" s="1116" t="s">
        <v>4391</v>
      </c>
      <c r="D61" s="1019" t="s">
        <v>4330</v>
      </c>
      <c r="E61" s="1020">
        <v>410</v>
      </c>
      <c r="F61" s="1120" t="s">
        <v>4335</v>
      </c>
      <c r="G61" s="1399">
        <v>225000000</v>
      </c>
      <c r="H61" s="1061">
        <f t="shared" si="31"/>
        <v>0</v>
      </c>
      <c r="I61" s="1061">
        <f t="shared" si="32"/>
        <v>5000000</v>
      </c>
      <c r="J61" s="1120" t="s">
        <v>4840</v>
      </c>
      <c r="K61" s="1115" t="s">
        <v>4841</v>
      </c>
      <c r="L61" s="1115" t="s">
        <v>4847</v>
      </c>
      <c r="M61" s="1115">
        <v>0</v>
      </c>
      <c r="N61" s="1115">
        <v>0</v>
      </c>
      <c r="O61" s="1115">
        <v>0</v>
      </c>
      <c r="P61" s="1115">
        <v>0</v>
      </c>
      <c r="Q61" s="1115">
        <v>0</v>
      </c>
      <c r="R61" s="1115">
        <v>0</v>
      </c>
      <c r="S61" s="1120"/>
      <c r="T61" s="1120"/>
      <c r="U61" s="1120"/>
      <c r="V61" s="1120"/>
      <c r="W61" s="1120"/>
      <c r="X61" s="1120"/>
      <c r="Y61" s="1008">
        <f t="shared" si="33"/>
        <v>5000000</v>
      </c>
      <c r="Z61" s="944"/>
      <c r="AA61" s="944"/>
      <c r="AB61" s="944"/>
      <c r="AC61" s="1008"/>
      <c r="AD61" s="1008"/>
      <c r="AE61" s="944"/>
      <c r="AF61" s="944"/>
      <c r="AG61" s="944"/>
      <c r="AH61" s="944"/>
      <c r="AI61" s="1008"/>
      <c r="AJ61" s="1008"/>
      <c r="AK61" s="1008"/>
      <c r="AL61" s="1008"/>
      <c r="AM61" s="1008"/>
      <c r="AN61" s="1008"/>
      <c r="AO61" s="1008"/>
      <c r="AP61" s="1008"/>
      <c r="AQ61" s="1008"/>
      <c r="AR61" s="1008"/>
      <c r="AS61" s="1008">
        <f>5000000</f>
        <v>5000000</v>
      </c>
      <c r="AU61" s="1011">
        <f t="shared" si="3"/>
        <v>1</v>
      </c>
      <c r="AV61" s="1008">
        <f t="shared" si="34"/>
        <v>5000000</v>
      </c>
      <c r="AW61" s="1008"/>
      <c r="AX61" s="1008"/>
      <c r="AY61" s="1008"/>
      <c r="AZ61" s="1008"/>
      <c r="BA61" s="1008"/>
      <c r="BB61" s="1008"/>
      <c r="BC61" s="1008"/>
      <c r="BD61" s="1008"/>
      <c r="BE61" s="1008"/>
      <c r="BF61" s="1008"/>
      <c r="BG61" s="1008"/>
      <c r="BH61" s="1008"/>
      <c r="BI61" s="1008"/>
      <c r="BJ61" s="1008"/>
      <c r="BK61" s="1008"/>
      <c r="BL61" s="1008"/>
      <c r="BM61" s="1008"/>
      <c r="BN61" s="1008"/>
      <c r="BO61" s="1008"/>
      <c r="BP61" s="1008">
        <f>+'[9]FEBRERO 2015'!$AC$685</f>
        <v>5000000</v>
      </c>
      <c r="BQ61" s="1011">
        <f t="shared" si="25"/>
        <v>0</v>
      </c>
      <c r="BR61" s="1008">
        <f t="shared" si="35"/>
        <v>0</v>
      </c>
      <c r="BS61" s="1008">
        <f t="shared" si="56"/>
        <v>0</v>
      </c>
      <c r="BT61" s="1008"/>
      <c r="BU61" s="1008">
        <f t="shared" si="52"/>
        <v>0</v>
      </c>
      <c r="BV61" s="1008">
        <f t="shared" si="52"/>
        <v>0</v>
      </c>
      <c r="BW61" s="1008"/>
      <c r="BX61" s="1008">
        <f t="shared" si="57"/>
        <v>0</v>
      </c>
      <c r="BY61" s="1008">
        <f t="shared" si="57"/>
        <v>0</v>
      </c>
      <c r="BZ61" s="1008"/>
      <c r="CA61" s="1008"/>
      <c r="CB61" s="1008">
        <f t="shared" si="58"/>
        <v>0</v>
      </c>
      <c r="CC61" s="1008"/>
      <c r="CD61" s="1008">
        <f t="shared" si="59"/>
        <v>0</v>
      </c>
      <c r="CE61" s="1008">
        <f t="shared" si="59"/>
        <v>0</v>
      </c>
      <c r="CF61" s="1008">
        <f t="shared" si="59"/>
        <v>0</v>
      </c>
      <c r="CG61" s="1008">
        <f t="shared" si="59"/>
        <v>0</v>
      </c>
      <c r="CH61" s="1008">
        <f t="shared" si="59"/>
        <v>0</v>
      </c>
      <c r="CI61" s="1008">
        <f t="shared" si="59"/>
        <v>0</v>
      </c>
      <c r="CJ61" s="1008"/>
      <c r="CK61" s="1008"/>
      <c r="CL61" s="1008">
        <f t="shared" si="41"/>
        <v>0</v>
      </c>
      <c r="CM61" s="1011">
        <f t="shared" si="13"/>
        <v>0</v>
      </c>
      <c r="CN61" s="1008">
        <f t="shared" si="42"/>
        <v>0</v>
      </c>
      <c r="CO61" s="1008"/>
      <c r="CP61" s="1008"/>
      <c r="CQ61" s="1008"/>
      <c r="CR61" s="1008"/>
      <c r="CS61" s="1008"/>
      <c r="CT61" s="1008"/>
      <c r="CU61" s="1008"/>
      <c r="CV61" s="1008"/>
      <c r="CW61" s="1008"/>
      <c r="CX61" s="1008"/>
      <c r="CY61" s="1008"/>
      <c r="CZ61" s="1008"/>
      <c r="DA61" s="1008"/>
      <c r="DB61" s="1008"/>
      <c r="DC61" s="1008"/>
      <c r="DD61" s="1008"/>
      <c r="DE61" s="1008"/>
      <c r="DF61" s="1008"/>
      <c r="DG61" s="1008"/>
      <c r="DH61" s="1008"/>
      <c r="DI61" s="1011">
        <f t="shared" si="15"/>
        <v>1</v>
      </c>
      <c r="DJ61" s="1008">
        <f t="shared" si="43"/>
        <v>5000000</v>
      </c>
      <c r="DK61" s="1008"/>
      <c r="DL61" s="1008"/>
      <c r="DM61" s="1008"/>
      <c r="DN61" s="1008">
        <f t="shared" ref="DN61:DN66" si="64">AC61-CR61</f>
        <v>0</v>
      </c>
      <c r="DO61" s="1008"/>
      <c r="DP61" s="1008">
        <f t="shared" si="60"/>
        <v>0</v>
      </c>
      <c r="DQ61" s="1008">
        <f t="shared" si="60"/>
        <v>0</v>
      </c>
      <c r="DR61" s="1008"/>
      <c r="DS61" s="1008">
        <f t="shared" si="61"/>
        <v>0</v>
      </c>
      <c r="DT61" s="1008">
        <f t="shared" si="61"/>
        <v>0</v>
      </c>
      <c r="DU61" s="1008"/>
      <c r="DV61" s="1008">
        <f t="shared" si="62"/>
        <v>0</v>
      </c>
      <c r="DW61" s="1008">
        <f t="shared" si="62"/>
        <v>0</v>
      </c>
      <c r="DX61" s="1008">
        <f t="shared" si="62"/>
        <v>0</v>
      </c>
      <c r="DY61" s="1008">
        <f t="shared" si="63"/>
        <v>0</v>
      </c>
      <c r="DZ61" s="1008">
        <f t="shared" si="63"/>
        <v>0</v>
      </c>
      <c r="EA61" s="1008">
        <f t="shared" si="63"/>
        <v>0</v>
      </c>
      <c r="EB61" s="1008">
        <f t="shared" si="63"/>
        <v>0</v>
      </c>
      <c r="EC61" s="1008"/>
      <c r="ED61" s="1008">
        <f t="shared" si="49"/>
        <v>5000000</v>
      </c>
    </row>
    <row r="62" spans="1:135" ht="47.25" hidden="1" customHeight="1" x14ac:dyDescent="0.25">
      <c r="A62" s="1562"/>
      <c r="B62" s="1019"/>
      <c r="C62" s="1116" t="s">
        <v>4392</v>
      </c>
      <c r="D62" s="1019" t="s">
        <v>4337</v>
      </c>
      <c r="E62" s="1020">
        <v>410</v>
      </c>
      <c r="F62" s="1120" t="s">
        <v>4319</v>
      </c>
      <c r="G62" s="1400"/>
      <c r="H62" s="1061">
        <f t="shared" si="31"/>
        <v>52722999</v>
      </c>
      <c r="I62" s="1061">
        <f t="shared" si="32"/>
        <v>37277001</v>
      </c>
      <c r="J62" s="1120" t="s">
        <v>4842</v>
      </c>
      <c r="K62" s="1115" t="s">
        <v>4843</v>
      </c>
      <c r="L62" s="1115" t="s">
        <v>4848</v>
      </c>
      <c r="M62" s="1115">
        <v>13</v>
      </c>
      <c r="N62" s="1115">
        <v>0</v>
      </c>
      <c r="O62" s="1115">
        <v>0</v>
      </c>
      <c r="P62" s="1115">
        <v>18</v>
      </c>
      <c r="Q62" s="1115">
        <v>60</v>
      </c>
      <c r="R62" s="1115">
        <v>11</v>
      </c>
      <c r="S62" s="1120"/>
      <c r="T62" s="1120"/>
      <c r="U62" s="1120"/>
      <c r="V62" s="1120"/>
      <c r="W62" s="1120"/>
      <c r="X62" s="1120"/>
      <c r="Y62" s="1008">
        <f t="shared" si="33"/>
        <v>90000000</v>
      </c>
      <c r="Z62" s="944"/>
      <c r="AA62" s="944"/>
      <c r="AB62" s="944"/>
      <c r="AC62" s="1008"/>
      <c r="AD62" s="1008"/>
      <c r="AE62" s="944"/>
      <c r="AF62" s="944"/>
      <c r="AG62" s="944"/>
      <c r="AH62" s="944"/>
      <c r="AI62" s="1008"/>
      <c r="AJ62" s="1008"/>
      <c r="AK62" s="1008"/>
      <c r="AL62" s="1008"/>
      <c r="AM62" s="1008"/>
      <c r="AN62" s="1008">
        <v>15000000</v>
      </c>
      <c r="AO62" s="1008">
        <f>105000000-30000000</f>
        <v>75000000</v>
      </c>
      <c r="AP62" s="1008"/>
      <c r="AQ62" s="1008"/>
      <c r="AR62" s="1008"/>
      <c r="AS62" s="1008"/>
      <c r="AU62" s="1011">
        <f t="shared" si="3"/>
        <v>1</v>
      </c>
      <c r="AV62" s="1008">
        <f t="shared" si="34"/>
        <v>90000000</v>
      </c>
      <c r="AW62" s="1008"/>
      <c r="AX62" s="1008"/>
      <c r="AY62" s="1008"/>
      <c r="AZ62" s="1008"/>
      <c r="BA62" s="1008"/>
      <c r="BB62" s="1008"/>
      <c r="BC62" s="1008"/>
      <c r="BD62" s="1008"/>
      <c r="BE62" s="1008"/>
      <c r="BF62" s="1008"/>
      <c r="BG62" s="1008"/>
      <c r="BH62" s="1008"/>
      <c r="BI62" s="1008"/>
      <c r="BJ62" s="1008"/>
      <c r="BK62" s="1008">
        <f>+'[8]FEBRERO 2015'!$W$740</f>
        <v>15000000</v>
      </c>
      <c r="BL62" s="1008">
        <f>+'[18]OCTUBRE 2015'!$Y$2724</f>
        <v>75000000</v>
      </c>
      <c r="BM62" s="1008"/>
      <c r="BN62" s="1008"/>
      <c r="BO62" s="1008"/>
      <c r="BP62" s="1008"/>
      <c r="BQ62" s="1011">
        <f t="shared" si="25"/>
        <v>0</v>
      </c>
      <c r="BR62" s="1008">
        <f t="shared" si="35"/>
        <v>0</v>
      </c>
      <c r="BS62" s="1008">
        <f t="shared" si="56"/>
        <v>0</v>
      </c>
      <c r="BT62" s="1008"/>
      <c r="BU62" s="1008">
        <f t="shared" si="52"/>
        <v>0</v>
      </c>
      <c r="BV62" s="1008">
        <f t="shared" si="52"/>
        <v>0</v>
      </c>
      <c r="BW62" s="1008"/>
      <c r="BX62" s="1008">
        <f t="shared" si="57"/>
        <v>0</v>
      </c>
      <c r="BY62" s="1008">
        <f t="shared" si="57"/>
        <v>0</v>
      </c>
      <c r="BZ62" s="1008"/>
      <c r="CA62" s="1008"/>
      <c r="CB62" s="1008">
        <f t="shared" si="58"/>
        <v>0</v>
      </c>
      <c r="CC62" s="1008"/>
      <c r="CD62" s="1008">
        <f t="shared" si="59"/>
        <v>0</v>
      </c>
      <c r="CE62" s="1008">
        <f t="shared" si="59"/>
        <v>0</v>
      </c>
      <c r="CF62" s="1008">
        <f t="shared" si="59"/>
        <v>0</v>
      </c>
      <c r="CG62" s="1008">
        <f t="shared" si="59"/>
        <v>0</v>
      </c>
      <c r="CH62" s="1008">
        <f t="shared" si="59"/>
        <v>0</v>
      </c>
      <c r="CI62" s="1008">
        <f t="shared" si="59"/>
        <v>0</v>
      </c>
      <c r="CJ62" s="1008"/>
      <c r="CK62" s="1008"/>
      <c r="CL62" s="1008">
        <f t="shared" si="41"/>
        <v>0</v>
      </c>
      <c r="CM62" s="1011">
        <f t="shared" si="13"/>
        <v>0.58581110000000003</v>
      </c>
      <c r="CN62" s="1008">
        <f t="shared" si="42"/>
        <v>52722999</v>
      </c>
      <c r="CO62" s="1008"/>
      <c r="CP62" s="1008"/>
      <c r="CQ62" s="1008"/>
      <c r="CR62" s="1008"/>
      <c r="CS62" s="1008"/>
      <c r="CT62" s="1008"/>
      <c r="CU62" s="1008"/>
      <c r="CV62" s="1008"/>
      <c r="CW62" s="1008"/>
      <c r="CX62" s="1008"/>
      <c r="CY62" s="1008"/>
      <c r="CZ62" s="1008"/>
      <c r="DA62" s="1008"/>
      <c r="DB62" s="1008"/>
      <c r="DC62" s="1008">
        <f>+'[11]ABRIL 2015'!$H$1101</f>
        <v>15000000</v>
      </c>
      <c r="DD62" s="1008">
        <f>+'[18]OCTUBRE 2015'!$H$2725+'[18]OCTUBRE 2015'!$H$2734</f>
        <v>37722999</v>
      </c>
      <c r="DE62" s="1008"/>
      <c r="DF62" s="1008"/>
      <c r="DG62" s="1008"/>
      <c r="DH62" s="1008"/>
      <c r="DI62" s="1011">
        <f t="shared" si="15"/>
        <v>0.41418889999999997</v>
      </c>
      <c r="DJ62" s="1008">
        <f t="shared" si="43"/>
        <v>37277001</v>
      </c>
      <c r="DK62" s="1008"/>
      <c r="DL62" s="1008"/>
      <c r="DM62" s="1008"/>
      <c r="DN62" s="1008">
        <f t="shared" si="64"/>
        <v>0</v>
      </c>
      <c r="DO62" s="1008"/>
      <c r="DP62" s="1008">
        <f t="shared" si="60"/>
        <v>0</v>
      </c>
      <c r="DQ62" s="1008">
        <f t="shared" si="60"/>
        <v>0</v>
      </c>
      <c r="DR62" s="1008"/>
      <c r="DS62" s="1008">
        <f t="shared" si="61"/>
        <v>0</v>
      </c>
      <c r="DT62" s="1008">
        <f t="shared" si="61"/>
        <v>0</v>
      </c>
      <c r="DU62" s="1008"/>
      <c r="DV62" s="1008">
        <f t="shared" si="62"/>
        <v>0</v>
      </c>
      <c r="DW62" s="1008">
        <f t="shared" si="62"/>
        <v>0</v>
      </c>
      <c r="DX62" s="1008">
        <f t="shared" si="62"/>
        <v>0</v>
      </c>
      <c r="DY62" s="1008">
        <f t="shared" si="63"/>
        <v>0</v>
      </c>
      <c r="DZ62" s="1008">
        <f t="shared" si="63"/>
        <v>37277001</v>
      </c>
      <c r="EA62" s="1008">
        <f t="shared" si="63"/>
        <v>0</v>
      </c>
      <c r="EB62" s="1008">
        <f t="shared" si="63"/>
        <v>0</v>
      </c>
      <c r="EC62" s="1008"/>
      <c r="ED62" s="1008">
        <f t="shared" si="49"/>
        <v>0</v>
      </c>
    </row>
    <row r="63" spans="1:135" ht="49.5" hidden="1" customHeight="1" x14ac:dyDescent="0.25">
      <c r="A63" s="1562"/>
      <c r="B63" s="1019"/>
      <c r="C63" s="1116" t="s">
        <v>4393</v>
      </c>
      <c r="D63" s="1019" t="s">
        <v>4331</v>
      </c>
      <c r="E63" s="1020">
        <v>410</v>
      </c>
      <c r="F63" s="1120" t="s">
        <v>4319</v>
      </c>
      <c r="G63" s="1400"/>
      <c r="H63" s="1061">
        <f t="shared" si="31"/>
        <v>3078500</v>
      </c>
      <c r="I63" s="1061">
        <f t="shared" si="32"/>
        <v>1921500</v>
      </c>
      <c r="J63" s="1399" t="s">
        <v>4844</v>
      </c>
      <c r="K63" s="1283" t="s">
        <v>4845</v>
      </c>
      <c r="L63" s="1283" t="s">
        <v>4849</v>
      </c>
      <c r="M63" s="1115">
        <v>62</v>
      </c>
      <c r="N63" s="1115">
        <v>100</v>
      </c>
      <c r="O63" s="1115">
        <v>62</v>
      </c>
      <c r="P63" s="1115">
        <v>62</v>
      </c>
      <c r="Q63" s="1115">
        <v>100</v>
      </c>
      <c r="R63" s="1115">
        <v>62</v>
      </c>
      <c r="S63" s="1120"/>
      <c r="T63" s="1120"/>
      <c r="U63" s="1120"/>
      <c r="V63" s="1120"/>
      <c r="W63" s="1120"/>
      <c r="X63" s="1120"/>
      <c r="Y63" s="1008">
        <f t="shared" si="33"/>
        <v>5000000</v>
      </c>
      <c r="Z63" s="944"/>
      <c r="AA63" s="944"/>
      <c r="AB63" s="944"/>
      <c r="AC63" s="1008"/>
      <c r="AD63" s="1008"/>
      <c r="AE63" s="944"/>
      <c r="AF63" s="944"/>
      <c r="AG63" s="944"/>
      <c r="AH63" s="944"/>
      <c r="AI63" s="1008"/>
      <c r="AJ63" s="1008"/>
      <c r="AK63" s="1008"/>
      <c r="AL63" s="1008"/>
      <c r="AM63" s="1008"/>
      <c r="AN63" s="1008"/>
      <c r="AO63" s="1008">
        <v>5000000</v>
      </c>
      <c r="AP63" s="1008"/>
      <c r="AQ63" s="1008"/>
      <c r="AR63" s="1008"/>
      <c r="AS63" s="1008"/>
      <c r="AU63" s="1011">
        <f t="shared" si="3"/>
        <v>1</v>
      </c>
      <c r="AV63" s="1008">
        <f t="shared" si="34"/>
        <v>5000000</v>
      </c>
      <c r="AW63" s="1008"/>
      <c r="AX63" s="1008"/>
      <c r="AY63" s="1008"/>
      <c r="AZ63" s="1008"/>
      <c r="BA63" s="1008"/>
      <c r="BB63" s="1008"/>
      <c r="BC63" s="1008"/>
      <c r="BD63" s="1008"/>
      <c r="BE63" s="1008"/>
      <c r="BF63" s="1008"/>
      <c r="BG63" s="1008"/>
      <c r="BH63" s="1008"/>
      <c r="BI63" s="1008"/>
      <c r="BJ63" s="1008"/>
      <c r="BK63" s="1008"/>
      <c r="BL63" s="1008">
        <f>+'[9]FEBRERO 2015'!$X$695</f>
        <v>5000000</v>
      </c>
      <c r="BM63" s="1008"/>
      <c r="BN63" s="1008"/>
      <c r="BO63" s="1008"/>
      <c r="BP63" s="1008"/>
      <c r="BQ63" s="1011">
        <f t="shared" si="25"/>
        <v>0</v>
      </c>
      <c r="BR63" s="1008">
        <f t="shared" si="35"/>
        <v>0</v>
      </c>
      <c r="BS63" s="1008">
        <f t="shared" si="56"/>
        <v>0</v>
      </c>
      <c r="BT63" s="1008"/>
      <c r="BU63" s="1008">
        <f t="shared" ref="BU63:BV66" si="65">AB63-AY63</f>
        <v>0</v>
      </c>
      <c r="BV63" s="1008">
        <f t="shared" si="65"/>
        <v>0</v>
      </c>
      <c r="BW63" s="1008"/>
      <c r="BX63" s="1008">
        <f t="shared" si="57"/>
        <v>0</v>
      </c>
      <c r="BY63" s="1008">
        <f t="shared" si="57"/>
        <v>0</v>
      </c>
      <c r="BZ63" s="1008"/>
      <c r="CA63" s="1008"/>
      <c r="CB63" s="1008">
        <f t="shared" si="58"/>
        <v>0</v>
      </c>
      <c r="CC63" s="1008"/>
      <c r="CD63" s="1008">
        <f t="shared" si="59"/>
        <v>0</v>
      </c>
      <c r="CE63" s="1008">
        <f t="shared" si="59"/>
        <v>0</v>
      </c>
      <c r="CF63" s="1008">
        <f t="shared" si="59"/>
        <v>0</v>
      </c>
      <c r="CG63" s="1008">
        <f t="shared" si="59"/>
        <v>0</v>
      </c>
      <c r="CH63" s="1008">
        <f t="shared" si="59"/>
        <v>0</v>
      </c>
      <c r="CI63" s="1008">
        <f t="shared" si="59"/>
        <v>0</v>
      </c>
      <c r="CJ63" s="1008"/>
      <c r="CK63" s="1008"/>
      <c r="CL63" s="1008">
        <f t="shared" si="41"/>
        <v>0</v>
      </c>
      <c r="CM63" s="1011">
        <f t="shared" si="13"/>
        <v>0.61570000000000003</v>
      </c>
      <c r="CN63" s="1008">
        <f t="shared" si="42"/>
        <v>3078500</v>
      </c>
      <c r="CO63" s="1008"/>
      <c r="CP63" s="1008"/>
      <c r="CQ63" s="1008"/>
      <c r="CR63" s="1008"/>
      <c r="CS63" s="1008"/>
      <c r="CT63" s="1008"/>
      <c r="CU63" s="1008"/>
      <c r="CV63" s="1008"/>
      <c r="CW63" s="1008"/>
      <c r="CX63" s="1008"/>
      <c r="CY63" s="1008"/>
      <c r="CZ63" s="1008"/>
      <c r="DA63" s="1008"/>
      <c r="DB63" s="1008"/>
      <c r="DC63" s="1008"/>
      <c r="DD63" s="1008">
        <f>+'[11]ABRIL 2015'!$H$1104</f>
        <v>3078500</v>
      </c>
      <c r="DE63" s="1008"/>
      <c r="DF63" s="1008"/>
      <c r="DG63" s="1008"/>
      <c r="DH63" s="1008"/>
      <c r="DI63" s="1011">
        <f t="shared" si="15"/>
        <v>0.38429999999999997</v>
      </c>
      <c r="DJ63" s="1008">
        <f t="shared" si="43"/>
        <v>1921500</v>
      </c>
      <c r="DK63" s="1008"/>
      <c r="DL63" s="1008"/>
      <c r="DM63" s="1008"/>
      <c r="DN63" s="1008">
        <f t="shared" si="64"/>
        <v>0</v>
      </c>
      <c r="DO63" s="1008"/>
      <c r="DP63" s="1008">
        <f t="shared" si="60"/>
        <v>0</v>
      </c>
      <c r="DQ63" s="1008">
        <f t="shared" si="60"/>
        <v>0</v>
      </c>
      <c r="DR63" s="1008"/>
      <c r="DS63" s="1008">
        <f t="shared" si="61"/>
        <v>0</v>
      </c>
      <c r="DT63" s="1008">
        <f t="shared" si="61"/>
        <v>0</v>
      </c>
      <c r="DU63" s="1008"/>
      <c r="DV63" s="1008">
        <f t="shared" si="62"/>
        <v>0</v>
      </c>
      <c r="DW63" s="1008">
        <f t="shared" si="62"/>
        <v>0</v>
      </c>
      <c r="DX63" s="1008">
        <f t="shared" si="62"/>
        <v>0</v>
      </c>
      <c r="DY63" s="1008">
        <f t="shared" si="63"/>
        <v>0</v>
      </c>
      <c r="DZ63" s="1008">
        <f t="shared" si="63"/>
        <v>1921500</v>
      </c>
      <c r="EA63" s="1008">
        <f t="shared" si="63"/>
        <v>0</v>
      </c>
      <c r="EB63" s="1008">
        <f t="shared" si="63"/>
        <v>0</v>
      </c>
      <c r="EC63" s="1008"/>
      <c r="ED63" s="1008">
        <f t="shared" si="49"/>
        <v>0</v>
      </c>
    </row>
    <row r="64" spans="1:135" ht="51" hidden="1" customHeight="1" x14ac:dyDescent="0.25">
      <c r="A64" s="1562"/>
      <c r="B64" s="1019"/>
      <c r="C64" s="1116" t="s">
        <v>4394</v>
      </c>
      <c r="D64" s="1019" t="s">
        <v>4820</v>
      </c>
      <c r="E64" s="1020">
        <v>410</v>
      </c>
      <c r="F64" s="1120" t="s">
        <v>4733</v>
      </c>
      <c r="G64" s="1400"/>
      <c r="H64" s="1061">
        <f t="shared" si="31"/>
        <v>22799959</v>
      </c>
      <c r="I64" s="1061">
        <f t="shared" si="32"/>
        <v>44474801</v>
      </c>
      <c r="J64" s="1401"/>
      <c r="K64" s="1284"/>
      <c r="L64" s="1284"/>
      <c r="M64" s="1115">
        <v>6</v>
      </c>
      <c r="N64" s="1115">
        <v>0</v>
      </c>
      <c r="O64" s="1115">
        <v>0</v>
      </c>
      <c r="P64" s="1115">
        <v>19</v>
      </c>
      <c r="Q64" s="1115">
        <v>0</v>
      </c>
      <c r="R64" s="1115">
        <v>0</v>
      </c>
      <c r="S64" s="1120"/>
      <c r="T64" s="1120"/>
      <c r="U64" s="1120"/>
      <c r="V64" s="1120"/>
      <c r="W64" s="1120"/>
      <c r="X64" s="1120"/>
      <c r="Y64" s="1008">
        <f t="shared" si="33"/>
        <v>67274760</v>
      </c>
      <c r="Z64" s="944"/>
      <c r="AA64" s="944"/>
      <c r="AB64" s="944"/>
      <c r="AC64" s="944"/>
      <c r="AD64" s="944"/>
      <c r="AE64" s="944"/>
      <c r="AF64" s="944"/>
      <c r="AG64" s="944"/>
      <c r="AH64" s="944"/>
      <c r="AI64" s="1008"/>
      <c r="AJ64" s="1008"/>
      <c r="AK64" s="1008"/>
      <c r="AL64" s="1008"/>
      <c r="AM64" s="1008"/>
      <c r="AN64" s="1008">
        <v>15000000</v>
      </c>
      <c r="AO64" s="1008">
        <f>55000000-10000000</f>
        <v>45000000</v>
      </c>
      <c r="AP64" s="1008"/>
      <c r="AQ64" s="1008"/>
      <c r="AR64" s="1008"/>
      <c r="AS64" s="1008">
        <f>4000000+3274760</f>
        <v>7274760</v>
      </c>
      <c r="AU64" s="1011">
        <f t="shared" si="3"/>
        <v>0.99995540675284456</v>
      </c>
      <c r="AV64" s="1008">
        <f t="shared" si="34"/>
        <v>67271760</v>
      </c>
      <c r="AW64" s="1008"/>
      <c r="AX64" s="1008"/>
      <c r="AY64" s="1008"/>
      <c r="AZ64" s="1008"/>
      <c r="BA64" s="1008"/>
      <c r="BB64" s="1008"/>
      <c r="BC64" s="1008"/>
      <c r="BD64" s="1008"/>
      <c r="BE64" s="1008"/>
      <c r="BF64" s="1008"/>
      <c r="BG64" s="1008"/>
      <c r="BH64" s="1008"/>
      <c r="BI64" s="1008"/>
      <c r="BJ64" s="1008"/>
      <c r="BK64" s="1008">
        <f>+'[8]FEBRERO 2015'!$W$753</f>
        <v>15000000</v>
      </c>
      <c r="BL64" s="1008">
        <f>+'[14]JUNIO 2015'!$Y$1453</f>
        <v>45000000</v>
      </c>
      <c r="BM64" s="1008"/>
      <c r="BN64" s="1008"/>
      <c r="BO64" s="1008"/>
      <c r="BP64" s="1008">
        <f>+'[17]SEPTIEMBRE 2015'!$AD$2368</f>
        <v>7271760</v>
      </c>
      <c r="BQ64" s="1011">
        <f t="shared" si="25"/>
        <v>4.4593247155444438E-5</v>
      </c>
      <c r="BR64" s="1008">
        <f t="shared" si="35"/>
        <v>3000</v>
      </c>
      <c r="BS64" s="1008">
        <f t="shared" si="56"/>
        <v>0</v>
      </c>
      <c r="BT64" s="1008"/>
      <c r="BU64" s="1008">
        <f t="shared" si="65"/>
        <v>0</v>
      </c>
      <c r="BV64" s="1008">
        <f t="shared" si="65"/>
        <v>0</v>
      </c>
      <c r="BW64" s="1008"/>
      <c r="BX64" s="1008">
        <f t="shared" si="57"/>
        <v>0</v>
      </c>
      <c r="BY64" s="1008">
        <f t="shared" si="57"/>
        <v>0</v>
      </c>
      <c r="BZ64" s="1008"/>
      <c r="CA64" s="1008"/>
      <c r="CB64" s="1008">
        <f t="shared" si="58"/>
        <v>0</v>
      </c>
      <c r="CC64" s="1008"/>
      <c r="CD64" s="1008">
        <f t="shared" si="59"/>
        <v>0</v>
      </c>
      <c r="CE64" s="1008">
        <f t="shared" si="59"/>
        <v>0</v>
      </c>
      <c r="CF64" s="1008">
        <f t="shared" si="59"/>
        <v>0</v>
      </c>
      <c r="CG64" s="1008">
        <f t="shared" si="59"/>
        <v>0</v>
      </c>
      <c r="CH64" s="1008">
        <f t="shared" si="59"/>
        <v>0</v>
      </c>
      <c r="CI64" s="1008">
        <f t="shared" si="59"/>
        <v>0</v>
      </c>
      <c r="CJ64" s="1008"/>
      <c r="CK64" s="1008"/>
      <c r="CL64" s="1008">
        <f t="shared" si="41"/>
        <v>3000</v>
      </c>
      <c r="CM64" s="1011">
        <f t="shared" si="13"/>
        <v>0.33890806893997094</v>
      </c>
      <c r="CN64" s="1008">
        <f t="shared" si="42"/>
        <v>22799959</v>
      </c>
      <c r="CO64" s="1008"/>
      <c r="CP64" s="1008"/>
      <c r="CQ64" s="1008"/>
      <c r="CR64" s="1008"/>
      <c r="CS64" s="1008"/>
      <c r="CT64" s="1008"/>
      <c r="CU64" s="1008"/>
      <c r="CV64" s="1008"/>
      <c r="CW64" s="1008"/>
      <c r="CX64" s="1008"/>
      <c r="CY64" s="1008"/>
      <c r="CZ64" s="1008"/>
      <c r="DA64" s="1008"/>
      <c r="DB64" s="1008"/>
      <c r="DC64" s="1008">
        <f>+'[18]OCTUBRE 2015'!$H$2760</f>
        <v>15000000</v>
      </c>
      <c r="DD64" s="1008">
        <f>+'[18]OCTUBRE 2015'!$H$2750</f>
        <v>7799959</v>
      </c>
      <c r="DE64" s="1008"/>
      <c r="DF64" s="1008"/>
      <c r="DG64" s="1008"/>
      <c r="DH64" s="1008"/>
      <c r="DI64" s="1011">
        <f t="shared" si="15"/>
        <v>0.66109193106002906</v>
      </c>
      <c r="DJ64" s="1008">
        <f t="shared" si="43"/>
        <v>44474801</v>
      </c>
      <c r="DK64" s="1008"/>
      <c r="DL64" s="1008"/>
      <c r="DM64" s="1008"/>
      <c r="DN64" s="1008">
        <f t="shared" si="64"/>
        <v>0</v>
      </c>
      <c r="DO64" s="1008"/>
      <c r="DP64" s="1008">
        <f t="shared" si="60"/>
        <v>0</v>
      </c>
      <c r="DQ64" s="1008">
        <f t="shared" si="60"/>
        <v>0</v>
      </c>
      <c r="DR64" s="1008"/>
      <c r="DS64" s="1008">
        <f t="shared" si="61"/>
        <v>0</v>
      </c>
      <c r="DT64" s="1008">
        <f t="shared" si="61"/>
        <v>0</v>
      </c>
      <c r="DU64" s="1008"/>
      <c r="DV64" s="1008">
        <f t="shared" si="62"/>
        <v>0</v>
      </c>
      <c r="DW64" s="1008">
        <f t="shared" si="62"/>
        <v>0</v>
      </c>
      <c r="DX64" s="1008">
        <f t="shared" si="62"/>
        <v>0</v>
      </c>
      <c r="DY64" s="1008">
        <f t="shared" si="63"/>
        <v>0</v>
      </c>
      <c r="DZ64" s="1008">
        <f t="shared" si="63"/>
        <v>37200041</v>
      </c>
      <c r="EA64" s="1008">
        <f t="shared" si="63"/>
        <v>0</v>
      </c>
      <c r="EB64" s="1008">
        <f t="shared" si="63"/>
        <v>0</v>
      </c>
      <c r="EC64" s="1008"/>
      <c r="ED64" s="1008">
        <f t="shared" si="49"/>
        <v>7274760</v>
      </c>
    </row>
    <row r="65" spans="1:134" ht="51" hidden="1" customHeight="1" x14ac:dyDescent="0.25">
      <c r="A65" s="1562"/>
      <c r="B65" s="1019"/>
      <c r="C65" s="1116" t="s">
        <v>4395</v>
      </c>
      <c r="D65" s="1019" t="s">
        <v>4332</v>
      </c>
      <c r="E65" s="1020">
        <v>410</v>
      </c>
      <c r="F65" s="1120" t="s">
        <v>4319</v>
      </c>
      <c r="G65" s="1400"/>
      <c r="H65" s="1061">
        <f t="shared" si="31"/>
        <v>35578029</v>
      </c>
      <c r="I65" s="1061">
        <f t="shared" si="32"/>
        <v>4421971</v>
      </c>
      <c r="J65" s="1399" t="s">
        <v>4846</v>
      </c>
      <c r="K65" s="1283" t="s">
        <v>4846</v>
      </c>
      <c r="L65" s="1283" t="s">
        <v>4846</v>
      </c>
      <c r="M65" s="1115">
        <v>37</v>
      </c>
      <c r="N65" s="1115">
        <v>0</v>
      </c>
      <c r="O65" s="1115">
        <v>0</v>
      </c>
      <c r="P65" s="1115">
        <v>49</v>
      </c>
      <c r="Q65" s="1115">
        <v>100</v>
      </c>
      <c r="R65" s="1115">
        <v>49</v>
      </c>
      <c r="S65" s="1120"/>
      <c r="T65" s="1120"/>
      <c r="U65" s="1120"/>
      <c r="V65" s="1120"/>
      <c r="W65" s="1120"/>
      <c r="X65" s="1120"/>
      <c r="Y65" s="1008">
        <f t="shared" si="33"/>
        <v>40000000</v>
      </c>
      <c r="Z65" s="944"/>
      <c r="AA65" s="944"/>
      <c r="AB65" s="944"/>
      <c r="AC65" s="944"/>
      <c r="AD65" s="944"/>
      <c r="AE65" s="944"/>
      <c r="AF65" s="944"/>
      <c r="AG65" s="944"/>
      <c r="AH65" s="944"/>
      <c r="AI65" s="1008"/>
      <c r="AJ65" s="1008"/>
      <c r="AK65" s="1008"/>
      <c r="AL65" s="1008"/>
      <c r="AM65" s="1008">
        <v>21280016</v>
      </c>
      <c r="AN65" s="1008">
        <v>15000000</v>
      </c>
      <c r="AO65" s="1008">
        <f>13719984-10000000</f>
        <v>3719984</v>
      </c>
      <c r="AP65" s="1008"/>
      <c r="AQ65" s="1008"/>
      <c r="AR65" s="1008"/>
      <c r="AS65" s="1008"/>
      <c r="AU65" s="1011">
        <f t="shared" si="3"/>
        <v>1</v>
      </c>
      <c r="AV65" s="1008">
        <f t="shared" si="34"/>
        <v>40000000</v>
      </c>
      <c r="AW65" s="1008"/>
      <c r="AX65" s="1008"/>
      <c r="AY65" s="1008"/>
      <c r="AZ65" s="1008"/>
      <c r="BA65" s="1008"/>
      <c r="BB65" s="1008"/>
      <c r="BC65" s="1008"/>
      <c r="BD65" s="1008"/>
      <c r="BE65" s="1008"/>
      <c r="BF65" s="1008"/>
      <c r="BG65" s="1008"/>
      <c r="BH65" s="1008"/>
      <c r="BI65" s="1008"/>
      <c r="BJ65" s="1008">
        <f>+'[18]OCTUBRE 2015'!$W$2790</f>
        <v>21280016</v>
      </c>
      <c r="BK65" s="1008">
        <f>+'[8]FEBRERO 2015'!$W$759</f>
        <v>15000000</v>
      </c>
      <c r="BL65" s="1008">
        <v>3719984</v>
      </c>
      <c r="BM65" s="1008"/>
      <c r="BN65" s="1008"/>
      <c r="BO65" s="1008"/>
      <c r="BP65" s="1008"/>
      <c r="BQ65" s="1011">
        <f t="shared" si="25"/>
        <v>0</v>
      </c>
      <c r="BR65" s="1008">
        <f t="shared" si="35"/>
        <v>0</v>
      </c>
      <c r="BS65" s="1008">
        <f t="shared" si="56"/>
        <v>0</v>
      </c>
      <c r="BT65" s="1008"/>
      <c r="BU65" s="1008">
        <f t="shared" si="65"/>
        <v>0</v>
      </c>
      <c r="BV65" s="1008">
        <f t="shared" si="65"/>
        <v>0</v>
      </c>
      <c r="BW65" s="1008"/>
      <c r="BX65" s="1008">
        <f t="shared" si="57"/>
        <v>0</v>
      </c>
      <c r="BY65" s="1008">
        <f t="shared" si="57"/>
        <v>0</v>
      </c>
      <c r="BZ65" s="1008"/>
      <c r="CA65" s="1008"/>
      <c r="CB65" s="1008">
        <f t="shared" si="58"/>
        <v>0</v>
      </c>
      <c r="CC65" s="1008"/>
      <c r="CD65" s="1008">
        <f t="shared" si="59"/>
        <v>0</v>
      </c>
      <c r="CE65" s="1008">
        <f t="shared" si="59"/>
        <v>0</v>
      </c>
      <c r="CF65" s="1008">
        <f t="shared" si="59"/>
        <v>0</v>
      </c>
      <c r="CG65" s="1008">
        <f t="shared" si="59"/>
        <v>0</v>
      </c>
      <c r="CH65" s="1008">
        <f t="shared" si="59"/>
        <v>0</v>
      </c>
      <c r="CI65" s="1008">
        <f t="shared" si="59"/>
        <v>0</v>
      </c>
      <c r="CJ65" s="1008"/>
      <c r="CK65" s="1008"/>
      <c r="CL65" s="1008">
        <f t="shared" si="41"/>
        <v>0</v>
      </c>
      <c r="CM65" s="1011">
        <f t="shared" si="13"/>
        <v>0.889450725</v>
      </c>
      <c r="CN65" s="1008">
        <f t="shared" si="42"/>
        <v>35578029</v>
      </c>
      <c r="CO65" s="1008"/>
      <c r="CP65" s="1008"/>
      <c r="CQ65" s="1008"/>
      <c r="CR65" s="1008"/>
      <c r="CS65" s="1008"/>
      <c r="CT65" s="1008"/>
      <c r="CU65" s="1008"/>
      <c r="CV65" s="1008"/>
      <c r="CW65" s="1008"/>
      <c r="CX65" s="1008"/>
      <c r="CY65" s="1008"/>
      <c r="CZ65" s="1008"/>
      <c r="DA65" s="1008"/>
      <c r="DB65" s="1008">
        <f>+'[18]OCTUBRE 2015'!$H$2791+'[18]OCTUBRE 2015'!$H$2800</f>
        <v>20578029</v>
      </c>
      <c r="DC65" s="1008">
        <f>+'[17]SEPTIEMBRE 2015'!$H$2405</f>
        <v>15000000</v>
      </c>
      <c r="DD65" s="1008"/>
      <c r="DE65" s="1008"/>
      <c r="DF65" s="1008"/>
      <c r="DG65" s="1008"/>
      <c r="DH65" s="1008"/>
      <c r="DI65" s="1011">
        <f t="shared" si="15"/>
        <v>0.110549275</v>
      </c>
      <c r="DJ65" s="1008">
        <f t="shared" si="43"/>
        <v>4421971</v>
      </c>
      <c r="DK65" s="1008"/>
      <c r="DL65" s="1008"/>
      <c r="DM65" s="1008"/>
      <c r="DN65" s="1008">
        <f t="shared" si="64"/>
        <v>0</v>
      </c>
      <c r="DO65" s="1008"/>
      <c r="DP65" s="1008">
        <f t="shared" si="60"/>
        <v>0</v>
      </c>
      <c r="DQ65" s="1008">
        <f t="shared" si="60"/>
        <v>0</v>
      </c>
      <c r="DR65" s="1008"/>
      <c r="DS65" s="1008">
        <f t="shared" si="61"/>
        <v>0</v>
      </c>
      <c r="DT65" s="1008">
        <f t="shared" si="61"/>
        <v>0</v>
      </c>
      <c r="DU65" s="1008"/>
      <c r="DV65" s="1008">
        <f t="shared" si="62"/>
        <v>0</v>
      </c>
      <c r="DW65" s="1008">
        <f t="shared" si="62"/>
        <v>0</v>
      </c>
      <c r="DX65" s="1008">
        <f t="shared" si="62"/>
        <v>701987</v>
      </c>
      <c r="DY65" s="1008">
        <f t="shared" si="63"/>
        <v>0</v>
      </c>
      <c r="DZ65" s="1008">
        <f t="shared" si="63"/>
        <v>3719984</v>
      </c>
      <c r="EA65" s="1008">
        <f t="shared" si="63"/>
        <v>0</v>
      </c>
      <c r="EB65" s="1008">
        <f t="shared" si="63"/>
        <v>0</v>
      </c>
      <c r="EC65" s="1008"/>
      <c r="ED65" s="1008">
        <f t="shared" si="49"/>
        <v>0</v>
      </c>
    </row>
    <row r="66" spans="1:134" ht="50.25" hidden="1" customHeight="1" x14ac:dyDescent="0.25">
      <c r="A66" s="1564"/>
      <c r="B66" s="1019"/>
      <c r="C66" s="1116" t="s">
        <v>4396</v>
      </c>
      <c r="D66" s="1019" t="s">
        <v>4333</v>
      </c>
      <c r="E66" s="1020">
        <v>410</v>
      </c>
      <c r="F66" s="1120" t="s">
        <v>4334</v>
      </c>
      <c r="G66" s="1401"/>
      <c r="H66" s="1061">
        <f t="shared" si="31"/>
        <v>15389000</v>
      </c>
      <c r="I66" s="1061">
        <f t="shared" si="32"/>
        <v>1048254</v>
      </c>
      <c r="J66" s="1401"/>
      <c r="K66" s="1284"/>
      <c r="L66" s="1284"/>
      <c r="M66" s="1115">
        <v>39</v>
      </c>
      <c r="N66" s="1115">
        <v>35</v>
      </c>
      <c r="O66" s="1115">
        <v>14</v>
      </c>
      <c r="P66" s="1115">
        <v>49</v>
      </c>
      <c r="Q66" s="1115">
        <v>35</v>
      </c>
      <c r="R66" s="1115">
        <v>17</v>
      </c>
      <c r="S66" s="1120"/>
      <c r="T66" s="1120"/>
      <c r="U66" s="1120"/>
      <c r="V66" s="1120"/>
      <c r="W66" s="1120"/>
      <c r="X66" s="1120"/>
      <c r="Y66" s="1008">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8">
        <f>20437254-4000000</f>
        <v>16437254</v>
      </c>
      <c r="AU66" s="1011">
        <f t="shared" si="3"/>
        <v>1</v>
      </c>
      <c r="AV66" s="1008">
        <f t="shared" si="34"/>
        <v>16437254</v>
      </c>
      <c r="AW66" s="1008"/>
      <c r="AX66" s="1008"/>
      <c r="AY66" s="1008"/>
      <c r="AZ66" s="1008"/>
      <c r="BA66" s="1008"/>
      <c r="BB66" s="1008"/>
      <c r="BC66" s="1008"/>
      <c r="BD66" s="1008"/>
      <c r="BE66" s="1008"/>
      <c r="BF66" s="1008"/>
      <c r="BG66" s="1008"/>
      <c r="BH66" s="1008"/>
      <c r="BI66" s="1008"/>
      <c r="BJ66" s="1008"/>
      <c r="BK66" s="1008"/>
      <c r="BL66" s="1008"/>
      <c r="BM66" s="1008"/>
      <c r="BN66" s="1008"/>
      <c r="BO66" s="1008"/>
      <c r="BP66" s="1008">
        <v>16437254</v>
      </c>
      <c r="BQ66" s="1011">
        <f t="shared" si="25"/>
        <v>0</v>
      </c>
      <c r="BR66" s="1008">
        <f t="shared" si="35"/>
        <v>0</v>
      </c>
      <c r="BS66" s="1008">
        <f t="shared" si="56"/>
        <v>0</v>
      </c>
      <c r="BT66" s="1008"/>
      <c r="BU66" s="1008">
        <f t="shared" si="65"/>
        <v>0</v>
      </c>
      <c r="BV66" s="1008">
        <f t="shared" si="65"/>
        <v>0</v>
      </c>
      <c r="BW66" s="1008"/>
      <c r="BX66" s="1008">
        <f t="shared" si="57"/>
        <v>0</v>
      </c>
      <c r="BY66" s="1008">
        <f t="shared" si="57"/>
        <v>0</v>
      </c>
      <c r="BZ66" s="1008"/>
      <c r="CA66" s="1008">
        <f>+AH66-BE66</f>
        <v>0</v>
      </c>
      <c r="CB66" s="1008">
        <f t="shared" si="58"/>
        <v>0</v>
      </c>
      <c r="CC66" s="1008">
        <f>+AJ66-BG66</f>
        <v>0</v>
      </c>
      <c r="CD66" s="1008">
        <f t="shared" si="59"/>
        <v>0</v>
      </c>
      <c r="CE66" s="1008">
        <f t="shared" si="59"/>
        <v>0</v>
      </c>
      <c r="CF66" s="1008">
        <f t="shared" si="59"/>
        <v>0</v>
      </c>
      <c r="CG66" s="1008">
        <f t="shared" si="59"/>
        <v>0</v>
      </c>
      <c r="CH66" s="1008">
        <f t="shared" si="59"/>
        <v>0</v>
      </c>
      <c r="CI66" s="1008">
        <f t="shared" si="59"/>
        <v>0</v>
      </c>
      <c r="CJ66" s="1008">
        <f>+AQ66-BN66</f>
        <v>0</v>
      </c>
      <c r="CK66" s="1008">
        <f>+AR66-BO66</f>
        <v>0</v>
      </c>
      <c r="CL66" s="1008">
        <f t="shared" si="41"/>
        <v>0</v>
      </c>
      <c r="CM66" s="1011">
        <f t="shared" si="13"/>
        <v>0.93622693912255661</v>
      </c>
      <c r="CN66" s="1008">
        <f t="shared" si="42"/>
        <v>15389000</v>
      </c>
      <c r="CO66" s="1008"/>
      <c r="CP66" s="1008"/>
      <c r="CQ66" s="1008"/>
      <c r="CR66" s="1008"/>
      <c r="CS66" s="1008"/>
      <c r="CT66" s="1008"/>
      <c r="CU66" s="1008"/>
      <c r="CV66" s="1008"/>
      <c r="CW66" s="1008"/>
      <c r="CX66" s="1008"/>
      <c r="CY66" s="1008"/>
      <c r="CZ66" s="1008"/>
      <c r="DA66" s="1008"/>
      <c r="DB66" s="1008"/>
      <c r="DC66" s="1008"/>
      <c r="DD66" s="1008"/>
      <c r="DE66" s="1008"/>
      <c r="DF66" s="1008"/>
      <c r="DG66" s="1008"/>
      <c r="DH66" s="1008">
        <f>+'[18]OCTUBRE 2015'!$H$2806</f>
        <v>15389000</v>
      </c>
      <c r="DI66" s="1011">
        <f t="shared" si="15"/>
        <v>6.3773060877443388E-2</v>
      </c>
      <c r="DJ66" s="1008">
        <f t="shared" si="43"/>
        <v>1048254</v>
      </c>
      <c r="DK66" s="1008"/>
      <c r="DL66" s="1008">
        <f>AA66-CP66</f>
        <v>0</v>
      </c>
      <c r="DM66" s="1008"/>
      <c r="DN66" s="1008">
        <f t="shared" si="64"/>
        <v>0</v>
      </c>
      <c r="DO66" s="1008"/>
      <c r="DP66" s="1008">
        <f t="shared" si="60"/>
        <v>0</v>
      </c>
      <c r="DQ66" s="1008">
        <f t="shared" si="60"/>
        <v>0</v>
      </c>
      <c r="DR66" s="1008"/>
      <c r="DS66" s="1008">
        <f t="shared" si="61"/>
        <v>0</v>
      </c>
      <c r="DT66" s="1008">
        <f t="shared" si="61"/>
        <v>0</v>
      </c>
      <c r="DU66" s="1008"/>
      <c r="DV66" s="1008">
        <f t="shared" si="62"/>
        <v>0</v>
      </c>
      <c r="DW66" s="1008">
        <f t="shared" si="62"/>
        <v>0</v>
      </c>
      <c r="DX66" s="1008">
        <f t="shared" si="62"/>
        <v>0</v>
      </c>
      <c r="DY66" s="1008">
        <f t="shared" si="63"/>
        <v>0</v>
      </c>
      <c r="DZ66" s="1008">
        <f t="shared" si="63"/>
        <v>0</v>
      </c>
      <c r="EA66" s="1008">
        <f t="shared" si="63"/>
        <v>0</v>
      </c>
      <c r="EB66" s="1008">
        <f t="shared" si="63"/>
        <v>0</v>
      </c>
      <c r="EC66" s="1008"/>
      <c r="ED66" s="1008">
        <f t="shared" si="49"/>
        <v>1048254</v>
      </c>
    </row>
    <row r="67" spans="1:134" s="948" customFormat="1" ht="22.5" customHeight="1" thickTop="1" thickBot="1" x14ac:dyDescent="0.3">
      <c r="A67" s="1056"/>
      <c r="B67" s="1628" t="s">
        <v>4989</v>
      </c>
      <c r="C67" s="1629"/>
      <c r="D67" s="1629"/>
      <c r="E67" s="1630"/>
      <c r="F67" s="1051"/>
      <c r="G67" s="1009">
        <f>SUM(G35:G66)</f>
        <v>4593000000</v>
      </c>
      <c r="H67" s="1009">
        <f>SUM(H35:H66)</f>
        <v>3906305329</v>
      </c>
      <c r="I67" s="1009">
        <f>SUM(I35:I66)</f>
        <v>2629487400</v>
      </c>
      <c r="J67" s="1055"/>
      <c r="K67" s="1079"/>
      <c r="L67" s="1079"/>
      <c r="M67" s="1074"/>
      <c r="N67" s="1074"/>
      <c r="O67" s="1074"/>
      <c r="P67" s="1079"/>
      <c r="Q67" s="1079"/>
      <c r="R67" s="1079"/>
      <c r="S67" s="1055"/>
      <c r="T67" s="1055"/>
      <c r="U67" s="1055"/>
      <c r="V67" s="1055"/>
      <c r="W67" s="1055"/>
      <c r="X67" s="1055"/>
      <c r="Y67" s="1009">
        <f t="shared" ref="Y67:AS67" si="66">SUM(Y35:Y66)</f>
        <v>6535792729</v>
      </c>
      <c r="Z67" s="1009">
        <f t="shared" si="66"/>
        <v>0</v>
      </c>
      <c r="AA67" s="1009">
        <f t="shared" si="66"/>
        <v>134533656</v>
      </c>
      <c r="AB67" s="1009">
        <f t="shared" si="66"/>
        <v>396726534</v>
      </c>
      <c r="AC67" s="1009">
        <f t="shared" si="66"/>
        <v>775722031</v>
      </c>
      <c r="AD67" s="1009">
        <f t="shared" si="66"/>
        <v>0</v>
      </c>
      <c r="AE67" s="1009">
        <f t="shared" si="66"/>
        <v>544180877</v>
      </c>
      <c r="AF67" s="1009">
        <f t="shared" si="66"/>
        <v>55000000</v>
      </c>
      <c r="AG67" s="1009">
        <f t="shared" si="66"/>
        <v>102810569</v>
      </c>
      <c r="AH67" s="1009">
        <f t="shared" si="66"/>
        <v>219471348</v>
      </c>
      <c r="AI67" s="1009">
        <f t="shared" si="66"/>
        <v>0</v>
      </c>
      <c r="AJ67" s="1009">
        <f t="shared" si="66"/>
        <v>0</v>
      </c>
      <c r="AK67" s="1009">
        <f t="shared" si="66"/>
        <v>0</v>
      </c>
      <c r="AL67" s="1009">
        <f t="shared" si="66"/>
        <v>3504013680</v>
      </c>
      <c r="AM67" s="1009">
        <f t="shared" si="66"/>
        <v>78609139</v>
      </c>
      <c r="AN67" s="1009">
        <f t="shared" si="66"/>
        <v>251718083</v>
      </c>
      <c r="AO67" s="1009">
        <f t="shared" si="66"/>
        <v>311973650</v>
      </c>
      <c r="AP67" s="1009">
        <f t="shared" si="66"/>
        <v>0</v>
      </c>
      <c r="AQ67" s="1009">
        <f t="shared" si="66"/>
        <v>80844085</v>
      </c>
      <c r="AR67" s="1009">
        <f t="shared" si="66"/>
        <v>0</v>
      </c>
      <c r="AS67" s="1009">
        <f t="shared" si="66"/>
        <v>80189077</v>
      </c>
      <c r="AU67" s="1012">
        <f t="shared" si="3"/>
        <v>0.81595654989749911</v>
      </c>
      <c r="AV67" s="1009">
        <f t="shared" ref="AV67:BP67" si="67">SUM(AV35:AV66)</f>
        <v>5332922886</v>
      </c>
      <c r="AW67" s="1009">
        <f t="shared" si="67"/>
        <v>0</v>
      </c>
      <c r="AX67" s="1009">
        <f t="shared" si="67"/>
        <v>127311678</v>
      </c>
      <c r="AY67" s="1009">
        <f t="shared" si="67"/>
        <v>364926534</v>
      </c>
      <c r="AZ67" s="1009">
        <f t="shared" si="67"/>
        <v>775722031</v>
      </c>
      <c r="BA67" s="1009">
        <f t="shared" si="67"/>
        <v>0</v>
      </c>
      <c r="BB67" s="1009">
        <f t="shared" si="67"/>
        <v>488016550</v>
      </c>
      <c r="BC67" s="1009">
        <f t="shared" si="67"/>
        <v>55000000</v>
      </c>
      <c r="BD67" s="1009">
        <f t="shared" si="67"/>
        <v>102810569</v>
      </c>
      <c r="BE67" s="1009">
        <f t="shared" si="67"/>
        <v>219471348</v>
      </c>
      <c r="BF67" s="1009">
        <f t="shared" si="67"/>
        <v>0</v>
      </c>
      <c r="BG67" s="1009">
        <f t="shared" si="67"/>
        <v>0</v>
      </c>
      <c r="BH67" s="1009">
        <f t="shared" si="67"/>
        <v>0</v>
      </c>
      <c r="BI67" s="1009">
        <f t="shared" si="67"/>
        <v>2411831294</v>
      </c>
      <c r="BJ67" s="1009">
        <f t="shared" si="67"/>
        <v>78609139</v>
      </c>
      <c r="BK67" s="1009">
        <f t="shared" si="67"/>
        <v>251718083</v>
      </c>
      <c r="BL67" s="1009">
        <f t="shared" si="67"/>
        <v>311973590</v>
      </c>
      <c r="BM67" s="1009">
        <f t="shared" si="67"/>
        <v>0</v>
      </c>
      <c r="BN67" s="1009">
        <f t="shared" si="67"/>
        <v>80844085</v>
      </c>
      <c r="BO67" s="1009">
        <f t="shared" si="67"/>
        <v>0</v>
      </c>
      <c r="BP67" s="1009">
        <f t="shared" si="67"/>
        <v>64687985</v>
      </c>
      <c r="BQ67" s="1012">
        <f t="shared" si="25"/>
        <v>0.18404345010250089</v>
      </c>
      <c r="BR67" s="1009">
        <f t="shared" ref="BR67:CL67" si="68">SUM(BR35:BR66)</f>
        <v>1202869843</v>
      </c>
      <c r="BS67" s="1009">
        <f t="shared" si="68"/>
        <v>0</v>
      </c>
      <c r="BT67" s="1009">
        <f t="shared" si="68"/>
        <v>7221978</v>
      </c>
      <c r="BU67" s="1009">
        <f t="shared" si="68"/>
        <v>31800000</v>
      </c>
      <c r="BV67" s="1009">
        <f t="shared" si="68"/>
        <v>0</v>
      </c>
      <c r="BW67" s="1009">
        <f t="shared" si="68"/>
        <v>0</v>
      </c>
      <c r="BX67" s="1009">
        <f t="shared" si="68"/>
        <v>56164327</v>
      </c>
      <c r="BY67" s="1009">
        <f t="shared" si="68"/>
        <v>0</v>
      </c>
      <c r="BZ67" s="1009">
        <f t="shared" si="68"/>
        <v>0</v>
      </c>
      <c r="CA67" s="1009">
        <f t="shared" si="68"/>
        <v>0</v>
      </c>
      <c r="CB67" s="1009">
        <f t="shared" si="68"/>
        <v>0</v>
      </c>
      <c r="CC67" s="1009">
        <f t="shared" si="68"/>
        <v>0</v>
      </c>
      <c r="CD67" s="1009">
        <f t="shared" si="68"/>
        <v>0</v>
      </c>
      <c r="CE67" s="1009">
        <f t="shared" si="68"/>
        <v>1092182386</v>
      </c>
      <c r="CF67" s="1009">
        <f t="shared" si="68"/>
        <v>0</v>
      </c>
      <c r="CG67" s="1009">
        <f t="shared" si="68"/>
        <v>0</v>
      </c>
      <c r="CH67" s="1009">
        <f t="shared" si="68"/>
        <v>60</v>
      </c>
      <c r="CI67" s="1009">
        <f t="shared" si="68"/>
        <v>0</v>
      </c>
      <c r="CJ67" s="1009">
        <f t="shared" si="68"/>
        <v>0</v>
      </c>
      <c r="CK67" s="1009">
        <f t="shared" si="68"/>
        <v>0</v>
      </c>
      <c r="CL67" s="1009">
        <f t="shared" si="68"/>
        <v>15501092</v>
      </c>
      <c r="CM67" s="1012">
        <f t="shared" si="13"/>
        <v>0.59767888777551226</v>
      </c>
      <c r="CN67" s="1009">
        <f t="shared" ref="CN67:ED67" si="69">SUM(CN35:CN66)</f>
        <v>3906305329</v>
      </c>
      <c r="CO67" s="1009">
        <f t="shared" si="69"/>
        <v>0</v>
      </c>
      <c r="CP67" s="1009">
        <f t="shared" si="69"/>
        <v>127311678</v>
      </c>
      <c r="CQ67" s="1009">
        <f t="shared" si="69"/>
        <v>364926534</v>
      </c>
      <c r="CR67" s="1009">
        <f t="shared" si="69"/>
        <v>561469881</v>
      </c>
      <c r="CS67" s="1009">
        <f t="shared" si="69"/>
        <v>0</v>
      </c>
      <c r="CT67" s="1009">
        <f t="shared" si="69"/>
        <v>461643323</v>
      </c>
      <c r="CU67" s="1009">
        <f t="shared" si="69"/>
        <v>55000000</v>
      </c>
      <c r="CV67" s="1009">
        <f t="shared" si="69"/>
        <v>102810569</v>
      </c>
      <c r="CW67" s="1009">
        <f t="shared" si="69"/>
        <v>129471348</v>
      </c>
      <c r="CX67" s="1009">
        <f t="shared" si="69"/>
        <v>0</v>
      </c>
      <c r="CY67" s="1009">
        <f t="shared" si="69"/>
        <v>0</v>
      </c>
      <c r="CZ67" s="1009">
        <f t="shared" si="69"/>
        <v>0</v>
      </c>
      <c r="DA67" s="1009">
        <f t="shared" si="69"/>
        <v>1537936337</v>
      </c>
      <c r="DB67" s="1009">
        <f t="shared" si="69"/>
        <v>74817818</v>
      </c>
      <c r="DC67" s="1009">
        <f t="shared" si="69"/>
        <v>226625653</v>
      </c>
      <c r="DD67" s="1009">
        <f t="shared" si="69"/>
        <v>189662203</v>
      </c>
      <c r="DE67" s="1009">
        <f t="shared" si="69"/>
        <v>0</v>
      </c>
      <c r="DF67" s="1009">
        <f t="shared" si="69"/>
        <v>32548551</v>
      </c>
      <c r="DG67" s="1009">
        <f t="shared" si="69"/>
        <v>0</v>
      </c>
      <c r="DH67" s="1009">
        <f t="shared" si="69"/>
        <v>42081434</v>
      </c>
      <c r="DI67" s="1012">
        <f t="shared" si="15"/>
        <v>0.40232111222448774</v>
      </c>
      <c r="DJ67" s="1009">
        <f t="shared" si="69"/>
        <v>2629487400</v>
      </c>
      <c r="DK67" s="1009">
        <f t="shared" si="69"/>
        <v>0</v>
      </c>
      <c r="DL67" s="1009">
        <f t="shared" si="69"/>
        <v>7221978</v>
      </c>
      <c r="DM67" s="1009">
        <f t="shared" si="69"/>
        <v>31800000</v>
      </c>
      <c r="DN67" s="1009">
        <f t="shared" si="69"/>
        <v>214252150</v>
      </c>
      <c r="DO67" s="1009">
        <f t="shared" si="69"/>
        <v>0</v>
      </c>
      <c r="DP67" s="1009">
        <f t="shared" si="69"/>
        <v>82537554</v>
      </c>
      <c r="DQ67" s="1009">
        <f t="shared" si="69"/>
        <v>0</v>
      </c>
      <c r="DR67" s="1009">
        <f t="shared" si="69"/>
        <v>0</v>
      </c>
      <c r="DS67" s="1009">
        <f t="shared" si="69"/>
        <v>90000000</v>
      </c>
      <c r="DT67" s="1009">
        <f t="shared" si="69"/>
        <v>0</v>
      </c>
      <c r="DU67" s="1009">
        <f t="shared" si="69"/>
        <v>0</v>
      </c>
      <c r="DV67" s="1009">
        <f t="shared" si="69"/>
        <v>0</v>
      </c>
      <c r="DW67" s="1009">
        <f t="shared" si="69"/>
        <v>1966077343</v>
      </c>
      <c r="DX67" s="1009">
        <f t="shared" si="69"/>
        <v>3791321</v>
      </c>
      <c r="DY67" s="1009">
        <f t="shared" si="69"/>
        <v>25092430</v>
      </c>
      <c r="DZ67" s="1009">
        <f t="shared" si="69"/>
        <v>122311447</v>
      </c>
      <c r="EA67" s="1009">
        <f t="shared" si="69"/>
        <v>0</v>
      </c>
      <c r="EB67" s="1009">
        <f t="shared" si="69"/>
        <v>48295534</v>
      </c>
      <c r="EC67" s="1009">
        <f t="shared" si="69"/>
        <v>0</v>
      </c>
      <c r="ED67" s="1044">
        <f t="shared" si="69"/>
        <v>38107643</v>
      </c>
    </row>
    <row r="68" spans="1:134" ht="66.75" hidden="1" customHeight="1" thickTop="1" x14ac:dyDescent="0.25">
      <c r="A68" s="1565" t="s">
        <v>4756</v>
      </c>
      <c r="B68" s="1019" t="s">
        <v>4340</v>
      </c>
      <c r="C68" s="1116" t="s">
        <v>4405</v>
      </c>
      <c r="D68" s="1019" t="s">
        <v>4344</v>
      </c>
      <c r="E68" s="1020">
        <v>520</v>
      </c>
      <c r="F68" s="1120" t="s">
        <v>4732</v>
      </c>
      <c r="G68" s="1563">
        <v>331000000</v>
      </c>
      <c r="H68" s="1061">
        <f t="shared" ref="H68:H103" si="70">+CN68</f>
        <v>2000000</v>
      </c>
      <c r="I68" s="1061">
        <f t="shared" ref="I68:I99" si="71">Y68-H68</f>
        <v>1000000</v>
      </c>
      <c r="J68" s="1120" t="s">
        <v>4850</v>
      </c>
      <c r="K68" s="1115" t="s">
        <v>4854</v>
      </c>
      <c r="L68" s="1115" t="s">
        <v>4860</v>
      </c>
      <c r="M68" s="1115">
        <v>0</v>
      </c>
      <c r="N68" s="1115">
        <v>0</v>
      </c>
      <c r="O68" s="1115">
        <v>0</v>
      </c>
      <c r="P68" s="1115">
        <v>0</v>
      </c>
      <c r="Q68" s="1115">
        <v>0</v>
      </c>
      <c r="R68" s="1115">
        <v>0</v>
      </c>
      <c r="S68" s="1120"/>
      <c r="T68" s="1120"/>
      <c r="U68" s="1120"/>
      <c r="V68" s="1120"/>
      <c r="W68" s="1120"/>
      <c r="X68" s="1120"/>
      <c r="Y68" s="1008">
        <f t="shared" ref="Y68:Y103" si="72">SUM(Z68:AS68)</f>
        <v>3000000</v>
      </c>
      <c r="Z68" s="944"/>
      <c r="AA68" s="1008"/>
      <c r="AB68" s="1008"/>
      <c r="AC68" s="1008"/>
      <c r="AD68" s="1008"/>
      <c r="AE68" s="1008"/>
      <c r="AF68" s="1008"/>
      <c r="AG68" s="1008"/>
      <c r="AH68" s="1008"/>
      <c r="AI68" s="1008"/>
      <c r="AJ68" s="1008"/>
      <c r="AK68" s="1008"/>
      <c r="AL68" s="1008"/>
      <c r="AM68" s="1008"/>
      <c r="AN68" s="1008"/>
      <c r="AO68" s="1008"/>
      <c r="AP68" s="1008"/>
      <c r="AQ68" s="1008"/>
      <c r="AR68" s="1008"/>
      <c r="AS68" s="1008">
        <f>2000000+1000000</f>
        <v>3000000</v>
      </c>
      <c r="AU68" s="1619">
        <f t="shared" ref="AU68:AU104" si="73">+AV68/Y68</f>
        <v>0.66666666666666663</v>
      </c>
      <c r="AV68" s="1008">
        <f t="shared" ref="AV68:AV103" si="74">SUM(AW68:BP68)</f>
        <v>2000000</v>
      </c>
      <c r="AW68" s="1008"/>
      <c r="AX68" s="1008"/>
      <c r="AY68" s="1008"/>
      <c r="AZ68" s="1008"/>
      <c r="BA68" s="1008"/>
      <c r="BB68" s="1008"/>
      <c r="BC68" s="1008"/>
      <c r="BD68" s="1008"/>
      <c r="BE68" s="1008"/>
      <c r="BF68" s="1008"/>
      <c r="BG68" s="1008"/>
      <c r="BH68" s="1008"/>
      <c r="BI68" s="1008"/>
      <c r="BJ68" s="1008"/>
      <c r="BK68" s="1008"/>
      <c r="BL68" s="1008"/>
      <c r="BM68" s="1008"/>
      <c r="BN68" s="1008"/>
      <c r="BO68" s="1008"/>
      <c r="BP68" s="1008">
        <f>+'[17]SEPTIEMBRE 2015'!$G$2914</f>
        <v>2000000</v>
      </c>
      <c r="BQ68" s="1619">
        <f t="shared" si="25"/>
        <v>0.33333333333333337</v>
      </c>
      <c r="BR68" s="1008">
        <f t="shared" ref="BR68:BR103" si="75">SUM(BS68:CL68)</f>
        <v>1000000</v>
      </c>
      <c r="BS68" s="1008">
        <f t="shared" ref="BS68:BS103" si="76">+Z68-AW68</f>
        <v>0</v>
      </c>
      <c r="BT68" s="1008">
        <f t="shared" ref="BT68:BT103" si="77">AA68-AX68</f>
        <v>0</v>
      </c>
      <c r="BU68" s="1008"/>
      <c r="BV68" s="1008">
        <f t="shared" ref="BV68:BV103" si="78">AC68-AZ68</f>
        <v>0</v>
      </c>
      <c r="BW68" s="1008"/>
      <c r="BX68" s="1008">
        <f t="shared" ref="BX68:BY103" si="79">+AE68-BB68</f>
        <v>0</v>
      </c>
      <c r="BY68" s="1008">
        <f t="shared" si="79"/>
        <v>0</v>
      </c>
      <c r="BZ68" s="1008"/>
      <c r="CA68" s="1008">
        <f t="shared" ref="CA68:CI83" si="80">+AH68-BE68</f>
        <v>0</v>
      </c>
      <c r="CB68" s="1008">
        <f t="shared" si="80"/>
        <v>0</v>
      </c>
      <c r="CC68" s="1008">
        <f t="shared" si="80"/>
        <v>0</v>
      </c>
      <c r="CD68" s="1008">
        <f t="shared" si="80"/>
        <v>0</v>
      </c>
      <c r="CE68" s="1008">
        <f t="shared" si="80"/>
        <v>0</v>
      </c>
      <c r="CF68" s="1008">
        <f t="shared" si="80"/>
        <v>0</v>
      </c>
      <c r="CG68" s="1008">
        <f t="shared" si="80"/>
        <v>0</v>
      </c>
      <c r="CH68" s="1008">
        <f t="shared" si="80"/>
        <v>0</v>
      </c>
      <c r="CI68" s="1008">
        <f t="shared" si="80"/>
        <v>0</v>
      </c>
      <c r="CJ68" s="1008"/>
      <c r="CK68" s="1008"/>
      <c r="CL68" s="1008">
        <f t="shared" ref="CL68:CL103" si="81">+AS68-BP68</f>
        <v>1000000</v>
      </c>
      <c r="CM68" s="1619">
        <f t="shared" ref="CM68:CM104" si="82">+CN68/Y68</f>
        <v>0.66666666666666663</v>
      </c>
      <c r="CN68" s="1008">
        <f t="shared" ref="CN68:CN103" si="83">SUM(CO68:DH68)</f>
        <v>2000000</v>
      </c>
      <c r="CO68" s="1008"/>
      <c r="CP68" s="1008"/>
      <c r="CQ68" s="1008"/>
      <c r="CR68" s="1008"/>
      <c r="CS68" s="1008"/>
      <c r="CT68" s="1008"/>
      <c r="CU68" s="1008"/>
      <c r="CV68" s="1008"/>
      <c r="CW68" s="1008"/>
      <c r="CX68" s="1008"/>
      <c r="CY68" s="1008"/>
      <c r="CZ68" s="1008"/>
      <c r="DA68" s="1008"/>
      <c r="DB68" s="1008"/>
      <c r="DC68" s="1008"/>
      <c r="DD68" s="1008"/>
      <c r="DE68" s="1008"/>
      <c r="DF68" s="1008"/>
      <c r="DG68" s="1008"/>
      <c r="DH68" s="1008">
        <f>+'[18]OCTUBRE 2015'!$H$3360</f>
        <v>2000000</v>
      </c>
      <c r="DI68" s="1011">
        <f t="shared" ref="DI68:DI104" si="84">1-CM68</f>
        <v>0.33333333333333337</v>
      </c>
      <c r="DJ68" s="1008">
        <f t="shared" ref="DJ68:DJ103" si="85">SUM(DK68:ED68)</f>
        <v>1000000</v>
      </c>
      <c r="DK68" s="1008"/>
      <c r="DL68" s="1008"/>
      <c r="DM68" s="1008"/>
      <c r="DN68" s="1008">
        <f t="shared" ref="DN68:DN103" si="86">AC68-CR68</f>
        <v>0</v>
      </c>
      <c r="DO68" s="1008"/>
      <c r="DP68" s="1008">
        <f t="shared" ref="DP68:DQ103" si="87">AE68-CT68</f>
        <v>0</v>
      </c>
      <c r="DQ68" s="1008">
        <f t="shared" si="87"/>
        <v>0</v>
      </c>
      <c r="DR68" s="1008"/>
      <c r="DS68" s="1008">
        <f t="shared" ref="DS68:DT103" si="88">+AH68-CW68</f>
        <v>0</v>
      </c>
      <c r="DT68" s="1008">
        <f t="shared" si="88"/>
        <v>0</v>
      </c>
      <c r="DU68" s="1008"/>
      <c r="DV68" s="1008">
        <f t="shared" ref="DV68:DX103" si="89">AK68-CZ68</f>
        <v>0</v>
      </c>
      <c r="DW68" s="1008">
        <f t="shared" si="89"/>
        <v>0</v>
      </c>
      <c r="DX68" s="1008">
        <f t="shared" si="89"/>
        <v>0</v>
      </c>
      <c r="DY68" s="1008">
        <f t="shared" ref="DY68:EB103" si="90">+AN68-DC68</f>
        <v>0</v>
      </c>
      <c r="DZ68" s="1008">
        <f t="shared" si="90"/>
        <v>0</v>
      </c>
      <c r="EA68" s="1008">
        <f t="shared" si="90"/>
        <v>0</v>
      </c>
      <c r="EB68" s="1008">
        <f t="shared" si="90"/>
        <v>0</v>
      </c>
      <c r="EC68" s="1008"/>
      <c r="ED68" s="1008">
        <f t="shared" ref="ED68:ED103" si="91">+AS68-DH68</f>
        <v>1000000</v>
      </c>
    </row>
    <row r="69" spans="1:134" ht="30.75" hidden="1" customHeight="1" x14ac:dyDescent="0.25">
      <c r="A69" s="1565"/>
      <c r="B69" s="1019"/>
      <c r="C69" s="1116" t="s">
        <v>4406</v>
      </c>
      <c r="D69" s="1019" t="s">
        <v>4341</v>
      </c>
      <c r="E69" s="1020">
        <v>520</v>
      </c>
      <c r="F69" s="1120" t="s">
        <v>3350</v>
      </c>
      <c r="G69" s="1400"/>
      <c r="H69" s="1061">
        <f t="shared" si="70"/>
        <v>25414205</v>
      </c>
      <c r="I69" s="1061">
        <f t="shared" si="71"/>
        <v>4585795</v>
      </c>
      <c r="J69" s="1399" t="s">
        <v>4851</v>
      </c>
      <c r="K69" s="1283" t="s">
        <v>4855</v>
      </c>
      <c r="L69" s="1283" t="s">
        <v>4861</v>
      </c>
      <c r="M69" s="1115">
        <v>13</v>
      </c>
      <c r="N69" s="1115">
        <v>10</v>
      </c>
      <c r="O69" s="1115">
        <v>1</v>
      </c>
      <c r="P69" s="1115">
        <v>24</v>
      </c>
      <c r="Q69" s="1115">
        <v>20</v>
      </c>
      <c r="R69" s="1115">
        <v>5</v>
      </c>
      <c r="S69" s="1120"/>
      <c r="T69" s="1120"/>
      <c r="U69" s="1120"/>
      <c r="V69" s="1120"/>
      <c r="W69" s="1120"/>
      <c r="X69" s="1120"/>
      <c r="Y69" s="1008">
        <f t="shared" si="72"/>
        <v>30000000</v>
      </c>
      <c r="Z69" s="1008"/>
      <c r="AA69" s="1008"/>
      <c r="AB69" s="1008"/>
      <c r="AC69" s="1008"/>
      <c r="AD69" s="1008"/>
      <c r="AE69" s="1008">
        <f>50000000-20000000</f>
        <v>30000000</v>
      </c>
      <c r="AF69" s="1008"/>
      <c r="AG69" s="1008"/>
      <c r="AH69" s="1008"/>
      <c r="AI69" s="1008"/>
      <c r="AJ69" s="1008"/>
      <c r="AK69" s="1008"/>
      <c r="AL69" s="1008"/>
      <c r="AM69" s="1008"/>
      <c r="AN69" s="1008"/>
      <c r="AO69" s="1008"/>
      <c r="AP69" s="1008"/>
      <c r="AQ69" s="1008"/>
      <c r="AR69" s="1008"/>
      <c r="AS69" s="1008"/>
      <c r="AU69" s="1011">
        <f t="shared" si="73"/>
        <v>1</v>
      </c>
      <c r="AV69" s="1008">
        <f t="shared" si="74"/>
        <v>30000000</v>
      </c>
      <c r="AW69" s="1008"/>
      <c r="AX69" s="1008"/>
      <c r="AY69" s="1008"/>
      <c r="AZ69" s="1008"/>
      <c r="BA69" s="1008"/>
      <c r="BB69" s="1008">
        <f>+'[9]FEBRERO 2015'!$N$1017-20000000</f>
        <v>30000000</v>
      </c>
      <c r="BC69" s="1008"/>
      <c r="BD69" s="1008"/>
      <c r="BE69" s="1008"/>
      <c r="BF69" s="1008"/>
      <c r="BG69" s="1008"/>
      <c r="BH69" s="1008"/>
      <c r="BI69" s="1008"/>
      <c r="BJ69" s="1008"/>
      <c r="BK69" s="1008"/>
      <c r="BL69" s="1008"/>
      <c r="BM69" s="1008"/>
      <c r="BN69" s="1008"/>
      <c r="BO69" s="1008"/>
      <c r="BP69" s="1008"/>
      <c r="BQ69" s="1011">
        <f t="shared" si="25"/>
        <v>0</v>
      </c>
      <c r="BR69" s="1008">
        <f t="shared" si="75"/>
        <v>0</v>
      </c>
      <c r="BS69" s="1008">
        <f t="shared" si="76"/>
        <v>0</v>
      </c>
      <c r="BT69" s="1008">
        <f t="shared" si="77"/>
        <v>0</v>
      </c>
      <c r="BU69" s="1008"/>
      <c r="BV69" s="1008">
        <f t="shared" si="78"/>
        <v>0</v>
      </c>
      <c r="BW69" s="1008"/>
      <c r="BX69" s="1008">
        <f t="shared" si="79"/>
        <v>0</v>
      </c>
      <c r="BY69" s="1008">
        <f t="shared" si="79"/>
        <v>0</v>
      </c>
      <c r="BZ69" s="1008"/>
      <c r="CA69" s="1008"/>
      <c r="CB69" s="1008">
        <f t="shared" si="80"/>
        <v>0</v>
      </c>
      <c r="CC69" s="1008"/>
      <c r="CD69" s="1008">
        <f t="shared" si="80"/>
        <v>0</v>
      </c>
      <c r="CE69" s="1008">
        <f t="shared" si="80"/>
        <v>0</v>
      </c>
      <c r="CF69" s="1008">
        <f t="shared" si="80"/>
        <v>0</v>
      </c>
      <c r="CG69" s="1008">
        <f t="shared" si="80"/>
        <v>0</v>
      </c>
      <c r="CH69" s="1008">
        <f t="shared" si="80"/>
        <v>0</v>
      </c>
      <c r="CI69" s="1008">
        <f t="shared" si="80"/>
        <v>0</v>
      </c>
      <c r="CJ69" s="1008"/>
      <c r="CK69" s="1008"/>
      <c r="CL69" s="1008">
        <f t="shared" si="81"/>
        <v>0</v>
      </c>
      <c r="CM69" s="1011">
        <f t="shared" si="82"/>
        <v>0.84714016666666669</v>
      </c>
      <c r="CN69" s="1008">
        <f t="shared" si="83"/>
        <v>25414205</v>
      </c>
      <c r="CO69" s="1008"/>
      <c r="CP69" s="1008"/>
      <c r="CQ69" s="1008"/>
      <c r="CR69" s="1008"/>
      <c r="CS69" s="1008"/>
      <c r="CT69" s="1008">
        <f>+'[18]OCTUBRE 2015'!$H$3369</f>
        <v>25414205</v>
      </c>
      <c r="CU69" s="1008"/>
      <c r="CV69" s="1008"/>
      <c r="CW69" s="1008"/>
      <c r="CX69" s="1008"/>
      <c r="CY69" s="1008"/>
      <c r="CZ69" s="1008"/>
      <c r="DA69" s="1008"/>
      <c r="DB69" s="1008"/>
      <c r="DC69" s="1008"/>
      <c r="DD69" s="1008"/>
      <c r="DE69" s="1008"/>
      <c r="DF69" s="1008"/>
      <c r="DG69" s="1008"/>
      <c r="DH69" s="1008"/>
      <c r="DI69" s="1011">
        <f t="shared" si="84"/>
        <v>0.15285983333333331</v>
      </c>
      <c r="DJ69" s="1008">
        <f t="shared" si="85"/>
        <v>4585795</v>
      </c>
      <c r="DK69" s="1008"/>
      <c r="DL69" s="1008"/>
      <c r="DM69" s="1008"/>
      <c r="DN69" s="1008">
        <f t="shared" si="86"/>
        <v>0</v>
      </c>
      <c r="DO69" s="1008"/>
      <c r="DP69" s="1008">
        <f t="shared" si="87"/>
        <v>4585795</v>
      </c>
      <c r="DQ69" s="1008">
        <f t="shared" si="87"/>
        <v>0</v>
      </c>
      <c r="DR69" s="1008"/>
      <c r="DS69" s="1008">
        <f t="shared" si="88"/>
        <v>0</v>
      </c>
      <c r="DT69" s="1008">
        <f t="shared" si="88"/>
        <v>0</v>
      </c>
      <c r="DU69" s="1008"/>
      <c r="DV69" s="1008">
        <f t="shared" si="89"/>
        <v>0</v>
      </c>
      <c r="DW69" s="1008">
        <f t="shared" si="89"/>
        <v>0</v>
      </c>
      <c r="DX69" s="1008">
        <f t="shared" si="89"/>
        <v>0</v>
      </c>
      <c r="DY69" s="1008">
        <f t="shared" si="90"/>
        <v>0</v>
      </c>
      <c r="DZ69" s="1008">
        <f t="shared" si="90"/>
        <v>0</v>
      </c>
      <c r="EA69" s="1008">
        <f t="shared" si="90"/>
        <v>0</v>
      </c>
      <c r="EB69" s="1008">
        <f t="shared" si="90"/>
        <v>0</v>
      </c>
      <c r="EC69" s="1008"/>
      <c r="ED69" s="1008">
        <f t="shared" si="91"/>
        <v>0</v>
      </c>
    </row>
    <row r="70" spans="1:134" ht="27" hidden="1" customHeight="1" x14ac:dyDescent="0.25">
      <c r="A70" s="1565"/>
      <c r="B70" s="1019"/>
      <c r="C70" s="1116" t="s">
        <v>4407</v>
      </c>
      <c r="D70" s="1019" t="s">
        <v>4342</v>
      </c>
      <c r="E70" s="1020">
        <v>520</v>
      </c>
      <c r="F70" s="1120" t="s">
        <v>3350</v>
      </c>
      <c r="G70" s="1400"/>
      <c r="H70" s="1061">
        <f t="shared" si="70"/>
        <v>15854838</v>
      </c>
      <c r="I70" s="1061">
        <f t="shared" si="71"/>
        <v>4145162</v>
      </c>
      <c r="J70" s="1401"/>
      <c r="K70" s="1284"/>
      <c r="L70" s="1284"/>
      <c r="M70" s="1115">
        <v>0</v>
      </c>
      <c r="N70" s="1115">
        <v>0</v>
      </c>
      <c r="O70" s="1115">
        <v>0</v>
      </c>
      <c r="P70" s="1115">
        <v>0</v>
      </c>
      <c r="Q70" s="1115">
        <v>10</v>
      </c>
      <c r="R70" s="1115">
        <v>0</v>
      </c>
      <c r="S70" s="1120"/>
      <c r="T70" s="1120"/>
      <c r="U70" s="1120"/>
      <c r="V70" s="1120"/>
      <c r="W70" s="1120"/>
      <c r="X70" s="1120"/>
      <c r="Y70" s="1008">
        <f t="shared" si="72"/>
        <v>20000000</v>
      </c>
      <c r="Z70" s="1008"/>
      <c r="AA70" s="1008"/>
      <c r="AB70" s="1008"/>
      <c r="AC70" s="1008"/>
      <c r="AD70" s="1008"/>
      <c r="AE70" s="1008">
        <f>50000000-20000000-20000000</f>
        <v>10000000</v>
      </c>
      <c r="AF70" s="1008"/>
      <c r="AG70" s="1008"/>
      <c r="AH70" s="1008"/>
      <c r="AI70" s="1008"/>
      <c r="AJ70" s="1008"/>
      <c r="AK70" s="1008"/>
      <c r="AL70" s="1008"/>
      <c r="AM70" s="1008"/>
      <c r="AN70" s="1008">
        <v>10000000</v>
      </c>
      <c r="AO70" s="1008"/>
      <c r="AP70" s="1008"/>
      <c r="AQ70" s="1008"/>
      <c r="AR70" s="1008"/>
      <c r="AS70" s="1008"/>
      <c r="AU70" s="1011">
        <f t="shared" si="73"/>
        <v>1</v>
      </c>
      <c r="AV70" s="1008">
        <f t="shared" si="74"/>
        <v>20000000</v>
      </c>
      <c r="AW70" s="1008"/>
      <c r="AX70" s="1008"/>
      <c r="AY70" s="1008"/>
      <c r="AZ70" s="1008"/>
      <c r="BA70" s="1008"/>
      <c r="BB70" s="1008">
        <f>+'[9]FEBRERO 2015'!$N$1024-40000000</f>
        <v>10000000</v>
      </c>
      <c r="BC70" s="1008"/>
      <c r="BD70" s="1008"/>
      <c r="BE70" s="1008"/>
      <c r="BF70" s="1008"/>
      <c r="BG70" s="1008"/>
      <c r="BH70" s="1008"/>
      <c r="BI70" s="1008"/>
      <c r="BJ70" s="1008"/>
      <c r="BK70" s="1008">
        <f>+'[8]FEBRERO 2015'!$W$1086</f>
        <v>10000000</v>
      </c>
      <c r="BL70" s="1008"/>
      <c r="BM70" s="1008"/>
      <c r="BN70" s="1008"/>
      <c r="BO70" s="1008"/>
      <c r="BP70" s="1008"/>
      <c r="BQ70" s="1011">
        <f t="shared" si="25"/>
        <v>0</v>
      </c>
      <c r="BR70" s="1008">
        <f t="shared" si="75"/>
        <v>0</v>
      </c>
      <c r="BS70" s="1008">
        <f t="shared" si="76"/>
        <v>0</v>
      </c>
      <c r="BT70" s="1008">
        <f t="shared" si="77"/>
        <v>0</v>
      </c>
      <c r="BU70" s="1008"/>
      <c r="BV70" s="1008">
        <f t="shared" si="78"/>
        <v>0</v>
      </c>
      <c r="BW70" s="1008"/>
      <c r="BX70" s="1008">
        <f t="shared" si="79"/>
        <v>0</v>
      </c>
      <c r="BY70" s="1008">
        <f t="shared" si="79"/>
        <v>0</v>
      </c>
      <c r="BZ70" s="1008"/>
      <c r="CA70" s="1008"/>
      <c r="CB70" s="1008">
        <f t="shared" si="80"/>
        <v>0</v>
      </c>
      <c r="CC70" s="1008"/>
      <c r="CD70" s="1008">
        <f t="shared" si="80"/>
        <v>0</v>
      </c>
      <c r="CE70" s="1008">
        <f t="shared" si="80"/>
        <v>0</v>
      </c>
      <c r="CF70" s="1008">
        <f t="shared" si="80"/>
        <v>0</v>
      </c>
      <c r="CG70" s="1008">
        <f t="shared" si="80"/>
        <v>0</v>
      </c>
      <c r="CH70" s="1008">
        <f t="shared" si="80"/>
        <v>0</v>
      </c>
      <c r="CI70" s="1008">
        <f t="shared" si="80"/>
        <v>0</v>
      </c>
      <c r="CJ70" s="1008"/>
      <c r="CK70" s="1008"/>
      <c r="CL70" s="1008">
        <f t="shared" si="81"/>
        <v>0</v>
      </c>
      <c r="CM70" s="1011">
        <f t="shared" si="82"/>
        <v>0.7927419</v>
      </c>
      <c r="CN70" s="1008">
        <f t="shared" si="83"/>
        <v>15854838</v>
      </c>
      <c r="CO70" s="1008"/>
      <c r="CP70" s="1008"/>
      <c r="CQ70" s="1008"/>
      <c r="CR70" s="1008"/>
      <c r="CS70" s="1008"/>
      <c r="CT70" s="1008">
        <f>+'[18]OCTUBRE 2015'!$H$3397</f>
        <v>5854838</v>
      </c>
      <c r="CU70" s="1008"/>
      <c r="CV70" s="1008"/>
      <c r="CW70" s="1008"/>
      <c r="CX70" s="1008"/>
      <c r="CY70" s="1008"/>
      <c r="CZ70" s="1008"/>
      <c r="DA70" s="1008"/>
      <c r="DB70" s="1008"/>
      <c r="DC70" s="1008">
        <f>+'[17]SEPTIEMBRE 2015'!$H$2955</f>
        <v>10000000</v>
      </c>
      <c r="DD70" s="1008"/>
      <c r="DE70" s="1008"/>
      <c r="DF70" s="1008"/>
      <c r="DG70" s="1008"/>
      <c r="DH70" s="1008"/>
      <c r="DI70" s="1011">
        <f t="shared" si="84"/>
        <v>0.2072581</v>
      </c>
      <c r="DJ70" s="1008">
        <f t="shared" si="85"/>
        <v>4145162</v>
      </c>
      <c r="DK70" s="1008"/>
      <c r="DL70" s="1008"/>
      <c r="DM70" s="1008"/>
      <c r="DN70" s="1008">
        <f t="shared" si="86"/>
        <v>0</v>
      </c>
      <c r="DO70" s="1008"/>
      <c r="DP70" s="1008">
        <f t="shared" si="87"/>
        <v>4145162</v>
      </c>
      <c r="DQ70" s="1008">
        <f t="shared" si="87"/>
        <v>0</v>
      </c>
      <c r="DR70" s="1008"/>
      <c r="DS70" s="1008">
        <f t="shared" si="88"/>
        <v>0</v>
      </c>
      <c r="DT70" s="1008">
        <f t="shared" si="88"/>
        <v>0</v>
      </c>
      <c r="DU70" s="1008"/>
      <c r="DV70" s="1008">
        <f t="shared" si="89"/>
        <v>0</v>
      </c>
      <c r="DW70" s="1008">
        <f t="shared" si="89"/>
        <v>0</v>
      </c>
      <c r="DX70" s="1008">
        <f t="shared" si="89"/>
        <v>0</v>
      </c>
      <c r="DY70" s="1008">
        <f t="shared" si="90"/>
        <v>0</v>
      </c>
      <c r="DZ70" s="1008">
        <f t="shared" si="90"/>
        <v>0</v>
      </c>
      <c r="EA70" s="1008">
        <f t="shared" si="90"/>
        <v>0</v>
      </c>
      <c r="EB70" s="1008">
        <f t="shared" si="90"/>
        <v>0</v>
      </c>
      <c r="EC70" s="1008"/>
      <c r="ED70" s="1008">
        <f t="shared" si="91"/>
        <v>0</v>
      </c>
    </row>
    <row r="71" spans="1:134" ht="48.75" hidden="1" customHeight="1" x14ac:dyDescent="0.25">
      <c r="A71" s="1565"/>
      <c r="B71" s="1019"/>
      <c r="C71" s="1116" t="s">
        <v>4408</v>
      </c>
      <c r="D71" s="1019" t="s">
        <v>4343</v>
      </c>
      <c r="E71" s="1020">
        <v>520</v>
      </c>
      <c r="F71" s="1120" t="s">
        <v>4734</v>
      </c>
      <c r="G71" s="1400"/>
      <c r="H71" s="1061">
        <f t="shared" si="70"/>
        <v>214769444</v>
      </c>
      <c r="I71" s="1061">
        <f t="shared" si="71"/>
        <v>14730556</v>
      </c>
      <c r="J71" s="1120" t="s">
        <v>4852</v>
      </c>
      <c r="K71" s="1115" t="s">
        <v>4856</v>
      </c>
      <c r="L71" s="1115" t="s">
        <v>4862</v>
      </c>
      <c r="M71" s="1115">
        <v>15</v>
      </c>
      <c r="N71" s="1115">
        <v>67</v>
      </c>
      <c r="O71" s="1115">
        <v>10</v>
      </c>
      <c r="P71" s="1115">
        <v>69</v>
      </c>
      <c r="Q71" s="1115">
        <v>18</v>
      </c>
      <c r="R71" s="1115">
        <v>12</v>
      </c>
      <c r="S71" s="1120"/>
      <c r="T71" s="1120"/>
      <c r="U71" s="1120"/>
      <c r="V71" s="1120"/>
      <c r="W71" s="1120"/>
      <c r="X71" s="1120"/>
      <c r="Y71" s="1008">
        <f t="shared" si="72"/>
        <v>229500000</v>
      </c>
      <c r="Z71" s="944"/>
      <c r="AA71" s="1008"/>
      <c r="AB71" s="1008"/>
      <c r="AC71" s="1008"/>
      <c r="AD71" s="1008"/>
      <c r="AE71" s="1008">
        <v>200000000</v>
      </c>
      <c r="AF71" s="1008"/>
      <c r="AG71" s="1008"/>
      <c r="AH71" s="1008"/>
      <c r="AI71" s="1008"/>
      <c r="AJ71" s="1008"/>
      <c r="AK71" s="1008"/>
      <c r="AL71" s="1008"/>
      <c r="AM71" s="1008"/>
      <c r="AN71" s="1008">
        <f>25000000</f>
        <v>25000000</v>
      </c>
      <c r="AO71" s="1008"/>
      <c r="AP71" s="1008"/>
      <c r="AQ71" s="1008"/>
      <c r="AR71" s="1008"/>
      <c r="AS71" s="1008">
        <f>2000000+2500000</f>
        <v>4500000</v>
      </c>
      <c r="AU71" s="1011">
        <f t="shared" si="73"/>
        <v>0.9633876427015251</v>
      </c>
      <c r="AV71" s="1008">
        <f t="shared" si="74"/>
        <v>221097464</v>
      </c>
      <c r="AW71" s="1008"/>
      <c r="AX71" s="1008"/>
      <c r="AY71" s="1008"/>
      <c r="AZ71" s="1008"/>
      <c r="BA71" s="1008"/>
      <c r="BB71" s="1008">
        <f>+'[9]FEBRERO 2015'!$N$1029</f>
        <v>200000000</v>
      </c>
      <c r="BC71" s="1008"/>
      <c r="BD71" s="1008"/>
      <c r="BE71" s="1008"/>
      <c r="BF71" s="1008"/>
      <c r="BG71" s="1008"/>
      <c r="BH71" s="1008"/>
      <c r="BI71" s="1008"/>
      <c r="BJ71" s="1008"/>
      <c r="BK71" s="1008">
        <f>+'[18]OCTUBRE 2015'!$X$3408</f>
        <v>16597464</v>
      </c>
      <c r="BL71" s="1008"/>
      <c r="BM71" s="1008"/>
      <c r="BN71" s="1008"/>
      <c r="BO71" s="1008"/>
      <c r="BP71" s="1008">
        <f>+'[15]JULIO 2015'!$AD$2168</f>
        <v>4500000</v>
      </c>
      <c r="BQ71" s="1011">
        <f t="shared" si="25"/>
        <v>3.6612357298474896E-2</v>
      </c>
      <c r="BR71" s="1008">
        <f t="shared" si="75"/>
        <v>8402536</v>
      </c>
      <c r="BS71" s="1008">
        <f t="shared" si="76"/>
        <v>0</v>
      </c>
      <c r="BT71" s="1008">
        <f t="shared" si="77"/>
        <v>0</v>
      </c>
      <c r="BU71" s="1008"/>
      <c r="BV71" s="1008">
        <f t="shared" si="78"/>
        <v>0</v>
      </c>
      <c r="BW71" s="1008"/>
      <c r="BX71" s="1008">
        <f t="shared" si="79"/>
        <v>0</v>
      </c>
      <c r="BY71" s="1008">
        <f t="shared" si="79"/>
        <v>0</v>
      </c>
      <c r="BZ71" s="1008"/>
      <c r="CA71" s="1008">
        <f>+AH71-BE71</f>
        <v>0</v>
      </c>
      <c r="CB71" s="1008">
        <f t="shared" si="80"/>
        <v>0</v>
      </c>
      <c r="CC71" s="1008">
        <f t="shared" si="80"/>
        <v>0</v>
      </c>
      <c r="CD71" s="1008">
        <f t="shared" si="80"/>
        <v>0</v>
      </c>
      <c r="CE71" s="1008">
        <f t="shared" si="80"/>
        <v>0</v>
      </c>
      <c r="CF71" s="1008">
        <f t="shared" si="80"/>
        <v>0</v>
      </c>
      <c r="CG71" s="1008">
        <f t="shared" si="80"/>
        <v>8402536</v>
      </c>
      <c r="CH71" s="1008">
        <f t="shared" si="80"/>
        <v>0</v>
      </c>
      <c r="CI71" s="1008">
        <f t="shared" si="80"/>
        <v>0</v>
      </c>
      <c r="CJ71" s="1008"/>
      <c r="CK71" s="1008"/>
      <c r="CL71" s="1008">
        <f t="shared" si="81"/>
        <v>0</v>
      </c>
      <c r="CM71" s="1011">
        <f t="shared" si="82"/>
        <v>0.9358145708061002</v>
      </c>
      <c r="CN71" s="1008">
        <f t="shared" si="83"/>
        <v>214769444</v>
      </c>
      <c r="CO71" s="1008"/>
      <c r="CP71" s="1008"/>
      <c r="CQ71" s="1008"/>
      <c r="CR71" s="1008"/>
      <c r="CS71" s="1008"/>
      <c r="CT71" s="1008">
        <f>+'[17]SEPTIEMBRE 2015'!$H$2966</f>
        <v>196216648</v>
      </c>
      <c r="CU71" s="1008"/>
      <c r="CV71" s="1008"/>
      <c r="CW71" s="1008"/>
      <c r="CX71" s="1008"/>
      <c r="CY71" s="1008"/>
      <c r="CZ71" s="1008"/>
      <c r="DA71" s="1008"/>
      <c r="DB71" s="1008"/>
      <c r="DC71" s="1008">
        <f>+'[18]OCTUBRE 2015'!$H$3489+'[18]OCTUBRE 2015'!$H$3490+'[18]OCTUBRE 2015'!$H$3491+'[18]OCTUBRE 2015'!$H$3492+'[18]OCTUBRE 2015'!$H$3493+'[18]OCTUBRE 2015'!$H$3494+'[18]OCTUBRE 2015'!$H$3495+'[18]OCTUBRE 2015'!$H$3496+'[18]OCTUBRE 2015'!$H$3497</f>
        <v>16597464</v>
      </c>
      <c r="DD71" s="1008"/>
      <c r="DE71" s="1008"/>
      <c r="DF71" s="1008"/>
      <c r="DG71" s="1008"/>
      <c r="DH71" s="1008">
        <f>+'[18]OCTUBRE 2015'!$H$3409+'[18]OCTUBRE 2015'!$H$3486</f>
        <v>1955332</v>
      </c>
      <c r="DI71" s="1011">
        <f t="shared" si="84"/>
        <v>6.4185429193899801E-2</v>
      </c>
      <c r="DJ71" s="1008">
        <f t="shared" si="85"/>
        <v>14730556</v>
      </c>
      <c r="DK71" s="1008"/>
      <c r="DL71" s="1008"/>
      <c r="DM71" s="1008"/>
      <c r="DN71" s="1008">
        <f t="shared" si="86"/>
        <v>0</v>
      </c>
      <c r="DO71" s="1008"/>
      <c r="DP71" s="1008">
        <f t="shared" si="87"/>
        <v>3783352</v>
      </c>
      <c r="DQ71" s="1008">
        <f t="shared" si="87"/>
        <v>0</v>
      </c>
      <c r="DR71" s="1008"/>
      <c r="DS71" s="1008">
        <f t="shared" si="88"/>
        <v>0</v>
      </c>
      <c r="DT71" s="1008">
        <f t="shared" si="88"/>
        <v>0</v>
      </c>
      <c r="DU71" s="1008"/>
      <c r="DV71" s="1008">
        <f t="shared" si="89"/>
        <v>0</v>
      </c>
      <c r="DW71" s="1008">
        <f t="shared" si="89"/>
        <v>0</v>
      </c>
      <c r="DX71" s="1008">
        <f t="shared" si="89"/>
        <v>0</v>
      </c>
      <c r="DY71" s="1008">
        <f t="shared" si="90"/>
        <v>8402536</v>
      </c>
      <c r="DZ71" s="1008">
        <f t="shared" si="90"/>
        <v>0</v>
      </c>
      <c r="EA71" s="1008">
        <f t="shared" si="90"/>
        <v>0</v>
      </c>
      <c r="EB71" s="1008">
        <f t="shared" si="90"/>
        <v>0</v>
      </c>
      <c r="EC71" s="1008"/>
      <c r="ED71" s="1008">
        <f t="shared" si="91"/>
        <v>2544668</v>
      </c>
    </row>
    <row r="72" spans="1:134" ht="45" hidden="1" customHeight="1" x14ac:dyDescent="0.25">
      <c r="A72" s="1565"/>
      <c r="B72" s="1019"/>
      <c r="C72" s="1116" t="s">
        <v>4409</v>
      </c>
      <c r="D72" s="1019" t="s">
        <v>4346</v>
      </c>
      <c r="E72" s="1020">
        <v>520</v>
      </c>
      <c r="F72" s="1120" t="s">
        <v>4735</v>
      </c>
      <c r="G72" s="1400"/>
      <c r="H72" s="1061">
        <f t="shared" si="70"/>
        <v>36778434</v>
      </c>
      <c r="I72" s="1061">
        <f t="shared" si="71"/>
        <v>9221566</v>
      </c>
      <c r="J72" s="1399" t="s">
        <v>4853</v>
      </c>
      <c r="K72" s="1283" t="s">
        <v>4857</v>
      </c>
      <c r="L72" s="1283" t="s">
        <v>4853</v>
      </c>
      <c r="M72" s="1115">
        <v>39</v>
      </c>
      <c r="N72" s="1115">
        <v>0</v>
      </c>
      <c r="O72" s="1115">
        <v>0</v>
      </c>
      <c r="P72" s="1115">
        <v>21</v>
      </c>
      <c r="Q72" s="1115">
        <v>0</v>
      </c>
      <c r="R72" s="1115">
        <v>0</v>
      </c>
      <c r="S72" s="1120"/>
      <c r="T72" s="1120"/>
      <c r="U72" s="1120"/>
      <c r="V72" s="1120"/>
      <c r="W72" s="1120"/>
      <c r="X72" s="1120"/>
      <c r="Y72" s="1008">
        <f t="shared" si="72"/>
        <v>46000000</v>
      </c>
      <c r="Z72" s="944"/>
      <c r="AA72" s="1008"/>
      <c r="AB72" s="1008"/>
      <c r="AC72" s="1008"/>
      <c r="AD72" s="1008"/>
      <c r="AE72" s="1008"/>
      <c r="AF72" s="1008"/>
      <c r="AG72" s="1008"/>
      <c r="AH72" s="1008"/>
      <c r="AI72" s="1008"/>
      <c r="AJ72" s="1008"/>
      <c r="AK72" s="1008"/>
      <c r="AL72" s="1008"/>
      <c r="AM72" s="1008"/>
      <c r="AN72" s="1008"/>
      <c r="AO72" s="1008"/>
      <c r="AP72" s="1008"/>
      <c r="AQ72" s="1008"/>
      <c r="AR72" s="1008"/>
      <c r="AS72" s="1008">
        <f>25000000+17000000+4000000</f>
        <v>46000000</v>
      </c>
      <c r="AU72" s="1011">
        <f t="shared" si="73"/>
        <v>0.80155789130434785</v>
      </c>
      <c r="AV72" s="1008">
        <f t="shared" si="74"/>
        <v>36871663</v>
      </c>
      <c r="AW72" s="1008"/>
      <c r="AX72" s="1008"/>
      <c r="AY72" s="1008"/>
      <c r="AZ72" s="1008"/>
      <c r="BA72" s="1008"/>
      <c r="BB72" s="1008"/>
      <c r="BC72" s="1008"/>
      <c r="BD72" s="1008"/>
      <c r="BE72" s="1008"/>
      <c r="BF72" s="1008"/>
      <c r="BG72" s="1008"/>
      <c r="BH72" s="1008"/>
      <c r="BI72" s="1008"/>
      <c r="BJ72" s="1008"/>
      <c r="BK72" s="1008"/>
      <c r="BL72" s="1008"/>
      <c r="BM72" s="1008"/>
      <c r="BN72" s="1008"/>
      <c r="BO72" s="1008"/>
      <c r="BP72" s="1008">
        <f>+'[18]OCTUBRE 2015'!$AD$3501</f>
        <v>36871663</v>
      </c>
      <c r="BQ72" s="1011">
        <f t="shared" si="25"/>
        <v>0.19844210869565215</v>
      </c>
      <c r="BR72" s="1008">
        <f t="shared" si="75"/>
        <v>9128337</v>
      </c>
      <c r="BS72" s="1008">
        <f t="shared" si="76"/>
        <v>0</v>
      </c>
      <c r="BT72" s="1008">
        <f t="shared" si="77"/>
        <v>0</v>
      </c>
      <c r="BU72" s="1008"/>
      <c r="BV72" s="1008">
        <f t="shared" si="78"/>
        <v>0</v>
      </c>
      <c r="BW72" s="1008"/>
      <c r="BX72" s="1008">
        <f t="shared" si="79"/>
        <v>0</v>
      </c>
      <c r="BY72" s="1008">
        <f t="shared" si="79"/>
        <v>0</v>
      </c>
      <c r="BZ72" s="1008"/>
      <c r="CA72" s="1008">
        <f>+AH72-BE72</f>
        <v>0</v>
      </c>
      <c r="CB72" s="1008">
        <f t="shared" si="80"/>
        <v>0</v>
      </c>
      <c r="CC72" s="1008">
        <f t="shared" si="80"/>
        <v>0</v>
      </c>
      <c r="CD72" s="1008">
        <f t="shared" si="80"/>
        <v>0</v>
      </c>
      <c r="CE72" s="1008">
        <f t="shared" si="80"/>
        <v>0</v>
      </c>
      <c r="CF72" s="1008">
        <f t="shared" si="80"/>
        <v>0</v>
      </c>
      <c r="CG72" s="1008">
        <f t="shared" si="80"/>
        <v>0</v>
      </c>
      <c r="CH72" s="1008">
        <f t="shared" si="80"/>
        <v>0</v>
      </c>
      <c r="CI72" s="1008">
        <f t="shared" si="80"/>
        <v>0</v>
      </c>
      <c r="CJ72" s="1008">
        <f>+AQ72-BN72</f>
        <v>0</v>
      </c>
      <c r="CK72" s="1008"/>
      <c r="CL72" s="1008">
        <f t="shared" si="81"/>
        <v>9128337</v>
      </c>
      <c r="CM72" s="1011">
        <f t="shared" si="82"/>
        <v>0.79953117391304351</v>
      </c>
      <c r="CN72" s="1008">
        <f t="shared" si="83"/>
        <v>36778434</v>
      </c>
      <c r="CO72" s="1008"/>
      <c r="CP72" s="1008"/>
      <c r="CQ72" s="1008"/>
      <c r="CR72" s="1008"/>
      <c r="CS72" s="1008"/>
      <c r="CT72" s="1008"/>
      <c r="CU72" s="1008"/>
      <c r="CV72" s="1008"/>
      <c r="CW72" s="1008"/>
      <c r="CX72" s="1008"/>
      <c r="CY72" s="1008"/>
      <c r="CZ72" s="1008"/>
      <c r="DA72" s="1008"/>
      <c r="DB72" s="1008"/>
      <c r="DC72" s="1008"/>
      <c r="DD72" s="1008"/>
      <c r="DE72" s="1008"/>
      <c r="DF72" s="1008"/>
      <c r="DG72" s="1008"/>
      <c r="DH72" s="1008">
        <f>+'[18]OCTUBRE 2015'!$H$3499</f>
        <v>36778434</v>
      </c>
      <c r="DI72" s="1011">
        <f t="shared" si="84"/>
        <v>0.20046882608695649</v>
      </c>
      <c r="DJ72" s="1008">
        <f t="shared" si="85"/>
        <v>9221566</v>
      </c>
      <c r="DK72" s="1008"/>
      <c r="DL72" s="1008"/>
      <c r="DM72" s="1008"/>
      <c r="DN72" s="1008">
        <f t="shared" si="86"/>
        <v>0</v>
      </c>
      <c r="DO72" s="1008"/>
      <c r="DP72" s="1008">
        <f t="shared" si="87"/>
        <v>0</v>
      </c>
      <c r="DQ72" s="1008">
        <f t="shared" si="87"/>
        <v>0</v>
      </c>
      <c r="DR72" s="1008"/>
      <c r="DS72" s="1008">
        <f t="shared" si="88"/>
        <v>0</v>
      </c>
      <c r="DT72" s="1008">
        <f t="shared" si="88"/>
        <v>0</v>
      </c>
      <c r="DU72" s="1008"/>
      <c r="DV72" s="1008">
        <f t="shared" si="89"/>
        <v>0</v>
      </c>
      <c r="DW72" s="1008">
        <f t="shared" si="89"/>
        <v>0</v>
      </c>
      <c r="DX72" s="1008">
        <f t="shared" si="89"/>
        <v>0</v>
      </c>
      <c r="DY72" s="1008">
        <f t="shared" si="90"/>
        <v>0</v>
      </c>
      <c r="DZ72" s="1008">
        <f t="shared" si="90"/>
        <v>0</v>
      </c>
      <c r="EA72" s="1008">
        <f t="shared" si="90"/>
        <v>0</v>
      </c>
      <c r="EB72" s="1008">
        <f t="shared" si="90"/>
        <v>0</v>
      </c>
      <c r="EC72" s="1008"/>
      <c r="ED72" s="1008">
        <f t="shared" si="91"/>
        <v>9221566</v>
      </c>
    </row>
    <row r="73" spans="1:134" ht="40.5" hidden="1" customHeight="1" x14ac:dyDescent="0.25">
      <c r="A73" s="1565"/>
      <c r="B73" s="1019"/>
      <c r="C73" s="1116" t="s">
        <v>4410</v>
      </c>
      <c r="D73" s="1019" t="s">
        <v>4613</v>
      </c>
      <c r="E73" s="1020">
        <v>520</v>
      </c>
      <c r="F73" s="1120" t="s">
        <v>4345</v>
      </c>
      <c r="G73" s="1401"/>
      <c r="H73" s="1061">
        <f t="shared" si="70"/>
        <v>2592254</v>
      </c>
      <c r="I73" s="1061">
        <f t="shared" si="71"/>
        <v>407746</v>
      </c>
      <c r="J73" s="1401"/>
      <c r="K73" s="1284"/>
      <c r="L73" s="1284"/>
      <c r="M73" s="1115">
        <v>81</v>
      </c>
      <c r="N73" s="1115">
        <v>0</v>
      </c>
      <c r="O73" s="1115">
        <v>24</v>
      </c>
      <c r="P73" s="1115">
        <v>59</v>
      </c>
      <c r="Q73" s="1115">
        <v>0</v>
      </c>
      <c r="R73" s="1115">
        <v>0</v>
      </c>
      <c r="S73" s="1120"/>
      <c r="T73" s="1120"/>
      <c r="U73" s="1120"/>
      <c r="V73" s="1120"/>
      <c r="W73" s="1120"/>
      <c r="X73" s="1120"/>
      <c r="Y73" s="1008">
        <f t="shared" si="72"/>
        <v>3000000</v>
      </c>
      <c r="Z73" s="944"/>
      <c r="AA73" s="1008"/>
      <c r="AB73" s="1008"/>
      <c r="AC73" s="1008"/>
      <c r="AD73" s="1008"/>
      <c r="AE73" s="1008"/>
      <c r="AF73" s="1008"/>
      <c r="AG73" s="1008"/>
      <c r="AH73" s="1008"/>
      <c r="AI73" s="1008"/>
      <c r="AJ73" s="1008"/>
      <c r="AK73" s="1008"/>
      <c r="AL73" s="1008"/>
      <c r="AM73" s="1008"/>
      <c r="AN73" s="1008"/>
      <c r="AO73" s="1008"/>
      <c r="AP73" s="1008"/>
      <c r="AQ73" s="1008"/>
      <c r="AR73" s="1008"/>
      <c r="AS73" s="1008">
        <f>2000000+1000000</f>
        <v>3000000</v>
      </c>
      <c r="AU73" s="1011">
        <f t="shared" si="73"/>
        <v>1</v>
      </c>
      <c r="AV73" s="1008">
        <f t="shared" si="74"/>
        <v>3000000</v>
      </c>
      <c r="AW73" s="1008"/>
      <c r="AX73" s="1008"/>
      <c r="AY73" s="1008"/>
      <c r="AZ73" s="1008"/>
      <c r="BA73" s="1008"/>
      <c r="BB73" s="1008"/>
      <c r="BC73" s="1008"/>
      <c r="BD73" s="1008"/>
      <c r="BE73" s="1008"/>
      <c r="BF73" s="1008"/>
      <c r="BG73" s="1008"/>
      <c r="BH73" s="1008"/>
      <c r="BI73" s="1008"/>
      <c r="BJ73" s="1008"/>
      <c r="BK73" s="1008"/>
      <c r="BL73" s="1008"/>
      <c r="BM73" s="1008"/>
      <c r="BN73" s="1008"/>
      <c r="BO73" s="1008"/>
      <c r="BP73" s="1008">
        <f>+'[15]JULIO 2015'!$AD$2253</f>
        <v>3000000</v>
      </c>
      <c r="BQ73" s="1011">
        <f t="shared" si="25"/>
        <v>0</v>
      </c>
      <c r="BR73" s="1008">
        <f t="shared" si="75"/>
        <v>0</v>
      </c>
      <c r="BS73" s="1008">
        <f t="shared" si="76"/>
        <v>0</v>
      </c>
      <c r="BT73" s="1008">
        <f t="shared" si="77"/>
        <v>0</v>
      </c>
      <c r="BU73" s="1008"/>
      <c r="BV73" s="1008">
        <f t="shared" si="78"/>
        <v>0</v>
      </c>
      <c r="BW73" s="1008"/>
      <c r="BX73" s="1008">
        <f t="shared" si="79"/>
        <v>0</v>
      </c>
      <c r="BY73" s="1008">
        <f t="shared" si="79"/>
        <v>0</v>
      </c>
      <c r="BZ73" s="1008"/>
      <c r="CA73" s="1008"/>
      <c r="CB73" s="1008">
        <f t="shared" si="80"/>
        <v>0</v>
      </c>
      <c r="CC73" s="1008">
        <f t="shared" si="80"/>
        <v>0</v>
      </c>
      <c r="CD73" s="1008">
        <f t="shared" si="80"/>
        <v>0</v>
      </c>
      <c r="CE73" s="1008">
        <f t="shared" si="80"/>
        <v>0</v>
      </c>
      <c r="CF73" s="1008">
        <f t="shared" si="80"/>
        <v>0</v>
      </c>
      <c r="CG73" s="1008">
        <f t="shared" si="80"/>
        <v>0</v>
      </c>
      <c r="CH73" s="1008">
        <f t="shared" si="80"/>
        <v>0</v>
      </c>
      <c r="CI73" s="1008">
        <f t="shared" si="80"/>
        <v>0</v>
      </c>
      <c r="CJ73" s="1008"/>
      <c r="CK73" s="1008"/>
      <c r="CL73" s="1008">
        <f t="shared" si="81"/>
        <v>0</v>
      </c>
      <c r="CM73" s="1011">
        <f t="shared" si="82"/>
        <v>0.86408466666666661</v>
      </c>
      <c r="CN73" s="1008">
        <f t="shared" si="83"/>
        <v>2592254</v>
      </c>
      <c r="CO73" s="1008"/>
      <c r="CP73" s="1008"/>
      <c r="CQ73" s="1008"/>
      <c r="CR73" s="1008"/>
      <c r="CS73" s="1008"/>
      <c r="CT73" s="1008"/>
      <c r="CU73" s="1008"/>
      <c r="CV73" s="1008"/>
      <c r="CW73" s="1008"/>
      <c r="CX73" s="1008"/>
      <c r="CY73" s="1008"/>
      <c r="CZ73" s="1008"/>
      <c r="DA73" s="1008"/>
      <c r="DB73" s="1008"/>
      <c r="DC73" s="1008"/>
      <c r="DD73" s="1008"/>
      <c r="DE73" s="1008"/>
      <c r="DF73" s="1008"/>
      <c r="DG73" s="1008"/>
      <c r="DH73" s="1008">
        <f>+'[18]OCTUBRE 2015'!$H$3517</f>
        <v>2592254</v>
      </c>
      <c r="DI73" s="1011">
        <f t="shared" si="84"/>
        <v>0.13591533333333339</v>
      </c>
      <c r="DJ73" s="1008">
        <f t="shared" si="85"/>
        <v>407746</v>
      </c>
      <c r="DK73" s="1008"/>
      <c r="DL73" s="1008"/>
      <c r="DM73" s="1008"/>
      <c r="DN73" s="1008">
        <f t="shared" si="86"/>
        <v>0</v>
      </c>
      <c r="DO73" s="1008"/>
      <c r="DP73" s="1008">
        <f t="shared" si="87"/>
        <v>0</v>
      </c>
      <c r="DQ73" s="1008">
        <f t="shared" si="87"/>
        <v>0</v>
      </c>
      <c r="DR73" s="1008"/>
      <c r="DS73" s="1008">
        <f t="shared" si="88"/>
        <v>0</v>
      </c>
      <c r="DT73" s="1008">
        <f t="shared" si="88"/>
        <v>0</v>
      </c>
      <c r="DU73" s="1008"/>
      <c r="DV73" s="1008">
        <f t="shared" si="89"/>
        <v>0</v>
      </c>
      <c r="DW73" s="1008">
        <f t="shared" si="89"/>
        <v>0</v>
      </c>
      <c r="DX73" s="1008">
        <f t="shared" si="89"/>
        <v>0</v>
      </c>
      <c r="DY73" s="1008">
        <f t="shared" si="90"/>
        <v>0</v>
      </c>
      <c r="DZ73" s="1008">
        <f t="shared" si="90"/>
        <v>0</v>
      </c>
      <c r="EA73" s="1008">
        <f t="shared" si="90"/>
        <v>0</v>
      </c>
      <c r="EB73" s="1008">
        <f t="shared" si="90"/>
        <v>0</v>
      </c>
      <c r="EC73" s="1008"/>
      <c r="ED73" s="1008">
        <f t="shared" si="91"/>
        <v>407746</v>
      </c>
    </row>
    <row r="74" spans="1:134" ht="51.75" hidden="1" customHeight="1" x14ac:dyDescent="0.25">
      <c r="A74" s="1565"/>
      <c r="B74" s="1019" t="s">
        <v>4348</v>
      </c>
      <c r="C74" s="1116" t="s">
        <v>4411</v>
      </c>
      <c r="D74" s="1019" t="s">
        <v>4614</v>
      </c>
      <c r="E74" s="1020">
        <v>520</v>
      </c>
      <c r="F74" s="1120" t="s">
        <v>3350</v>
      </c>
      <c r="G74" s="1399">
        <v>100000000</v>
      </c>
      <c r="H74" s="1061">
        <f t="shared" si="70"/>
        <v>1809494</v>
      </c>
      <c r="I74" s="1061">
        <f t="shared" si="71"/>
        <v>23190506</v>
      </c>
      <c r="J74" s="1399" t="s">
        <v>4858</v>
      </c>
      <c r="K74" s="1283" t="s">
        <v>4859</v>
      </c>
      <c r="L74" s="1283" t="s">
        <v>4863</v>
      </c>
      <c r="M74" s="1115">
        <v>0</v>
      </c>
      <c r="N74" s="1115">
        <v>0</v>
      </c>
      <c r="O74" s="1115">
        <v>0</v>
      </c>
      <c r="P74" s="1115">
        <v>0</v>
      </c>
      <c r="Q74" s="1115">
        <v>0</v>
      </c>
      <c r="R74" s="1115">
        <v>0</v>
      </c>
      <c r="S74" s="1120"/>
      <c r="T74" s="1120"/>
      <c r="U74" s="1120"/>
      <c r="V74" s="1120"/>
      <c r="W74" s="1120"/>
      <c r="X74" s="1120"/>
      <c r="Y74" s="1008">
        <f t="shared" si="72"/>
        <v>25000000</v>
      </c>
      <c r="Z74" s="944"/>
      <c r="AA74" s="1008"/>
      <c r="AB74" s="1008"/>
      <c r="AC74" s="1008"/>
      <c r="AD74" s="1008"/>
      <c r="AE74" s="1008"/>
      <c r="AF74" s="1008">
        <f>50000000-25000000</f>
        <v>25000000</v>
      </c>
      <c r="AG74" s="1008"/>
      <c r="AH74" s="1008"/>
      <c r="AI74" s="1008"/>
      <c r="AJ74" s="1008"/>
      <c r="AK74" s="1008"/>
      <c r="AL74" s="1008"/>
      <c r="AM74" s="1008"/>
      <c r="AN74" s="1008"/>
      <c r="AO74" s="1008"/>
      <c r="AP74" s="1008"/>
      <c r="AQ74" s="1008"/>
      <c r="AR74" s="1008"/>
      <c r="AS74" s="1008"/>
      <c r="AU74" s="1011">
        <f t="shared" si="73"/>
        <v>0.8</v>
      </c>
      <c r="AV74" s="1008">
        <f t="shared" si="74"/>
        <v>20000000</v>
      </c>
      <c r="AW74" s="1008"/>
      <c r="AX74" s="1008"/>
      <c r="AY74" s="1008"/>
      <c r="AZ74" s="1008"/>
      <c r="BA74" s="1008"/>
      <c r="BB74" s="1008"/>
      <c r="BC74" s="1008">
        <f>+'[18]OCTUBRE 2015'!$P$3532</f>
        <v>20000000</v>
      </c>
      <c r="BD74" s="1008"/>
      <c r="BE74" s="1008"/>
      <c r="BF74" s="1008"/>
      <c r="BG74" s="1008"/>
      <c r="BH74" s="1008"/>
      <c r="BI74" s="1008"/>
      <c r="BJ74" s="1008"/>
      <c r="BK74" s="1008"/>
      <c r="BL74" s="1008"/>
      <c r="BM74" s="1008"/>
      <c r="BN74" s="1008"/>
      <c r="BO74" s="1008"/>
      <c r="BP74" s="1008"/>
      <c r="BQ74" s="1011">
        <f t="shared" si="25"/>
        <v>0.19999999999999996</v>
      </c>
      <c r="BR74" s="1008">
        <f t="shared" si="75"/>
        <v>5000000</v>
      </c>
      <c r="BS74" s="1008">
        <f t="shared" si="76"/>
        <v>0</v>
      </c>
      <c r="BT74" s="1008">
        <f t="shared" si="77"/>
        <v>0</v>
      </c>
      <c r="BU74" s="1008"/>
      <c r="BV74" s="1008">
        <f t="shared" si="78"/>
        <v>0</v>
      </c>
      <c r="BW74" s="1008"/>
      <c r="BX74" s="1008">
        <f t="shared" si="79"/>
        <v>0</v>
      </c>
      <c r="BY74" s="1008">
        <f t="shared" si="79"/>
        <v>5000000</v>
      </c>
      <c r="BZ74" s="1008"/>
      <c r="CA74" s="1008">
        <f>+AH74-BE74</f>
        <v>0</v>
      </c>
      <c r="CB74" s="1008">
        <f t="shared" si="80"/>
        <v>0</v>
      </c>
      <c r="CC74" s="1008">
        <f t="shared" si="80"/>
        <v>0</v>
      </c>
      <c r="CD74" s="1008">
        <f t="shared" si="80"/>
        <v>0</v>
      </c>
      <c r="CE74" s="1008">
        <f t="shared" si="80"/>
        <v>0</v>
      </c>
      <c r="CF74" s="1008">
        <f t="shared" si="80"/>
        <v>0</v>
      </c>
      <c r="CG74" s="1008">
        <f t="shared" si="80"/>
        <v>0</v>
      </c>
      <c r="CH74" s="1008">
        <f t="shared" si="80"/>
        <v>0</v>
      </c>
      <c r="CI74" s="1008">
        <f t="shared" si="80"/>
        <v>0</v>
      </c>
      <c r="CJ74" s="1008">
        <f>+AQ74-BN74</f>
        <v>0</v>
      </c>
      <c r="CK74" s="1008"/>
      <c r="CL74" s="1008">
        <f t="shared" si="81"/>
        <v>0</v>
      </c>
      <c r="CM74" s="1011">
        <f t="shared" si="82"/>
        <v>7.2379760000000001E-2</v>
      </c>
      <c r="CN74" s="1008">
        <f t="shared" si="83"/>
        <v>1809494</v>
      </c>
      <c r="CO74" s="1008"/>
      <c r="CP74" s="1008"/>
      <c r="CQ74" s="1008"/>
      <c r="CR74" s="1008"/>
      <c r="CS74" s="1008"/>
      <c r="CT74" s="1008"/>
      <c r="CU74" s="1008">
        <f>+'[18]OCTUBRE 2015'!$H$3530</f>
        <v>1809494</v>
      </c>
      <c r="CV74" s="1008"/>
      <c r="CW74" s="1008"/>
      <c r="CX74" s="1008"/>
      <c r="CY74" s="1008"/>
      <c r="CZ74" s="1008"/>
      <c r="DA74" s="1008"/>
      <c r="DB74" s="1008"/>
      <c r="DC74" s="1008"/>
      <c r="DD74" s="1008"/>
      <c r="DE74" s="1008"/>
      <c r="DF74" s="1008"/>
      <c r="DG74" s="1008"/>
      <c r="DH74" s="1008"/>
      <c r="DI74" s="1011">
        <f t="shared" si="84"/>
        <v>0.92762023999999998</v>
      </c>
      <c r="DJ74" s="1008">
        <f t="shared" si="85"/>
        <v>23190506</v>
      </c>
      <c r="DK74" s="1008"/>
      <c r="DL74" s="1008"/>
      <c r="DM74" s="1008"/>
      <c r="DN74" s="1008">
        <f t="shared" si="86"/>
        <v>0</v>
      </c>
      <c r="DO74" s="1008"/>
      <c r="DP74" s="1008">
        <f t="shared" si="87"/>
        <v>0</v>
      </c>
      <c r="DQ74" s="1008">
        <f t="shared" si="87"/>
        <v>23190506</v>
      </c>
      <c r="DR74" s="1008"/>
      <c r="DS74" s="1008">
        <f t="shared" si="88"/>
        <v>0</v>
      </c>
      <c r="DT74" s="1008">
        <f t="shared" si="88"/>
        <v>0</v>
      </c>
      <c r="DU74" s="1008"/>
      <c r="DV74" s="1008">
        <f t="shared" si="89"/>
        <v>0</v>
      </c>
      <c r="DW74" s="1008">
        <f t="shared" si="89"/>
        <v>0</v>
      </c>
      <c r="DX74" s="1008">
        <f t="shared" si="89"/>
        <v>0</v>
      </c>
      <c r="DY74" s="1008">
        <f t="shared" si="90"/>
        <v>0</v>
      </c>
      <c r="DZ74" s="1008">
        <f t="shared" si="90"/>
        <v>0</v>
      </c>
      <c r="EA74" s="1008">
        <f t="shared" si="90"/>
        <v>0</v>
      </c>
      <c r="EB74" s="1008">
        <f t="shared" si="90"/>
        <v>0</v>
      </c>
      <c r="EC74" s="1008"/>
      <c r="ED74" s="1008">
        <f t="shared" si="91"/>
        <v>0</v>
      </c>
    </row>
    <row r="75" spans="1:134" ht="34.5" hidden="1" customHeight="1" x14ac:dyDescent="0.25">
      <c r="A75" s="1565"/>
      <c r="B75" s="1019"/>
      <c r="C75" s="1116" t="s">
        <v>4412</v>
      </c>
      <c r="D75" s="1019" t="s">
        <v>4615</v>
      </c>
      <c r="E75" s="1020">
        <v>520</v>
      </c>
      <c r="F75" s="1120" t="s">
        <v>3350</v>
      </c>
      <c r="G75" s="1400"/>
      <c r="H75" s="1061">
        <f t="shared" si="70"/>
        <v>28800000</v>
      </c>
      <c r="I75" s="1061">
        <f t="shared" si="71"/>
        <v>1200000</v>
      </c>
      <c r="J75" s="1400"/>
      <c r="K75" s="1573"/>
      <c r="L75" s="1573"/>
      <c r="M75" s="1115">
        <v>66</v>
      </c>
      <c r="N75" s="1115">
        <v>50</v>
      </c>
      <c r="O75" s="1115">
        <v>33</v>
      </c>
      <c r="P75" s="1115">
        <v>79</v>
      </c>
      <c r="Q75" s="1115">
        <v>100</v>
      </c>
      <c r="R75" s="1115">
        <v>79</v>
      </c>
      <c r="S75" s="1120"/>
      <c r="T75" s="1120"/>
      <c r="U75" s="1120"/>
      <c r="V75" s="1120"/>
      <c r="W75" s="1120"/>
      <c r="X75" s="1120"/>
      <c r="Y75" s="1008">
        <f t="shared" si="72"/>
        <v>30000000</v>
      </c>
      <c r="Z75" s="944"/>
      <c r="AA75" s="1008"/>
      <c r="AB75" s="1008"/>
      <c r="AC75" s="1008"/>
      <c r="AD75" s="1008"/>
      <c r="AE75" s="1008">
        <v>20000000</v>
      </c>
      <c r="AF75" s="1008"/>
      <c r="AG75" s="1008"/>
      <c r="AH75" s="1008"/>
      <c r="AI75" s="1008"/>
      <c r="AJ75" s="1008"/>
      <c r="AK75" s="1008"/>
      <c r="AL75" s="1008"/>
      <c r="AM75" s="1008"/>
      <c r="AN75" s="1008">
        <v>10000000</v>
      </c>
      <c r="AO75" s="1008"/>
      <c r="AP75" s="1008"/>
      <c r="AQ75" s="1008"/>
      <c r="AR75" s="1008"/>
      <c r="AS75" s="1008"/>
      <c r="AU75" s="1011">
        <f t="shared" si="73"/>
        <v>1</v>
      </c>
      <c r="AV75" s="1008">
        <f t="shared" si="74"/>
        <v>30000000</v>
      </c>
      <c r="AW75" s="1008"/>
      <c r="AX75" s="1008"/>
      <c r="AY75" s="1008"/>
      <c r="AZ75" s="1008"/>
      <c r="BA75" s="1008"/>
      <c r="BB75" s="1008">
        <f>+'[7]ENERO 2015'!$L$922</f>
        <v>20000000</v>
      </c>
      <c r="BC75" s="1008"/>
      <c r="BD75" s="1008"/>
      <c r="BE75" s="1008"/>
      <c r="BF75" s="1008"/>
      <c r="BG75" s="1008"/>
      <c r="BH75" s="1008"/>
      <c r="BI75" s="1008"/>
      <c r="BJ75" s="1008"/>
      <c r="BK75" s="1008">
        <f>+'[8]FEBRERO 2015'!$W$1134</f>
        <v>10000000</v>
      </c>
      <c r="BL75" s="1008"/>
      <c r="BM75" s="1008"/>
      <c r="BN75" s="1008"/>
      <c r="BO75" s="1008"/>
      <c r="BP75" s="1008"/>
      <c r="BQ75" s="1011">
        <f t="shared" si="25"/>
        <v>0</v>
      </c>
      <c r="BR75" s="1008">
        <f t="shared" si="75"/>
        <v>0</v>
      </c>
      <c r="BS75" s="1008">
        <f t="shared" si="76"/>
        <v>0</v>
      </c>
      <c r="BT75" s="1008">
        <f t="shared" si="77"/>
        <v>0</v>
      </c>
      <c r="BU75" s="1008"/>
      <c r="BV75" s="1008">
        <f t="shared" si="78"/>
        <v>0</v>
      </c>
      <c r="BW75" s="1008"/>
      <c r="BX75" s="1008">
        <f t="shared" si="79"/>
        <v>0</v>
      </c>
      <c r="BY75" s="1008">
        <f t="shared" si="79"/>
        <v>0</v>
      </c>
      <c r="BZ75" s="1008"/>
      <c r="CA75" s="1008">
        <f>+AH75-BE75</f>
        <v>0</v>
      </c>
      <c r="CB75" s="1008">
        <f t="shared" si="80"/>
        <v>0</v>
      </c>
      <c r="CC75" s="1008">
        <f t="shared" si="80"/>
        <v>0</v>
      </c>
      <c r="CD75" s="1008">
        <f t="shared" si="80"/>
        <v>0</v>
      </c>
      <c r="CE75" s="1008">
        <f t="shared" si="80"/>
        <v>0</v>
      </c>
      <c r="CF75" s="1008">
        <f t="shared" si="80"/>
        <v>0</v>
      </c>
      <c r="CG75" s="1008">
        <f t="shared" si="80"/>
        <v>0</v>
      </c>
      <c r="CH75" s="1008">
        <f t="shared" si="80"/>
        <v>0</v>
      </c>
      <c r="CI75" s="1008">
        <f t="shared" si="80"/>
        <v>0</v>
      </c>
      <c r="CJ75" s="1008">
        <f>+AQ75-BN75</f>
        <v>0</v>
      </c>
      <c r="CK75" s="1008"/>
      <c r="CL75" s="1008">
        <f t="shared" si="81"/>
        <v>0</v>
      </c>
      <c r="CM75" s="1011">
        <f t="shared" si="82"/>
        <v>0.96</v>
      </c>
      <c r="CN75" s="1008">
        <f t="shared" si="83"/>
        <v>28800000</v>
      </c>
      <c r="CO75" s="1008"/>
      <c r="CP75" s="1008"/>
      <c r="CQ75" s="1008"/>
      <c r="CR75" s="1008"/>
      <c r="CS75" s="1008"/>
      <c r="CT75" s="1008">
        <f>+'[17]SEPTIEMBRE 2015'!$H$3080</f>
        <v>20000000</v>
      </c>
      <c r="CU75" s="1008"/>
      <c r="CV75" s="1008"/>
      <c r="CW75" s="1008"/>
      <c r="CX75" s="1008"/>
      <c r="CY75" s="1008"/>
      <c r="CZ75" s="1008"/>
      <c r="DA75" s="1008"/>
      <c r="DB75" s="1008"/>
      <c r="DC75" s="1008">
        <f>+'[18]OCTUBRE 2015'!$H$3546</f>
        <v>8800000</v>
      </c>
      <c r="DD75" s="1008"/>
      <c r="DE75" s="1008"/>
      <c r="DF75" s="1008"/>
      <c r="DG75" s="1008"/>
      <c r="DH75" s="1008"/>
      <c r="DI75" s="1011">
        <f t="shared" si="84"/>
        <v>4.0000000000000036E-2</v>
      </c>
      <c r="DJ75" s="1008">
        <f t="shared" si="85"/>
        <v>1200000</v>
      </c>
      <c r="DK75" s="1008"/>
      <c r="DL75" s="1008"/>
      <c r="DM75" s="1008"/>
      <c r="DN75" s="1008">
        <f t="shared" si="86"/>
        <v>0</v>
      </c>
      <c r="DO75" s="1008"/>
      <c r="DP75" s="1008">
        <f t="shared" si="87"/>
        <v>0</v>
      </c>
      <c r="DQ75" s="1008">
        <f t="shared" si="87"/>
        <v>0</v>
      </c>
      <c r="DR75" s="1008"/>
      <c r="DS75" s="1008">
        <f t="shared" si="88"/>
        <v>0</v>
      </c>
      <c r="DT75" s="1008">
        <f t="shared" si="88"/>
        <v>0</v>
      </c>
      <c r="DU75" s="1008"/>
      <c r="DV75" s="1008">
        <f t="shared" si="89"/>
        <v>0</v>
      </c>
      <c r="DW75" s="1008">
        <f t="shared" si="89"/>
        <v>0</v>
      </c>
      <c r="DX75" s="1008">
        <f t="shared" si="89"/>
        <v>0</v>
      </c>
      <c r="DY75" s="1008">
        <f t="shared" si="90"/>
        <v>1200000</v>
      </c>
      <c r="DZ75" s="1008">
        <f t="shared" si="90"/>
        <v>0</v>
      </c>
      <c r="EA75" s="1008">
        <f t="shared" si="90"/>
        <v>0</v>
      </c>
      <c r="EB75" s="1008">
        <f t="shared" si="90"/>
        <v>0</v>
      </c>
      <c r="EC75" s="1008"/>
      <c r="ED75" s="1008">
        <f t="shared" si="91"/>
        <v>0</v>
      </c>
    </row>
    <row r="76" spans="1:134" ht="51" hidden="1" customHeight="1" x14ac:dyDescent="0.25">
      <c r="A76" s="1565"/>
      <c r="B76" s="1019"/>
      <c r="C76" s="1116" t="s">
        <v>4413</v>
      </c>
      <c r="D76" s="1019" t="s">
        <v>4349</v>
      </c>
      <c r="E76" s="1020">
        <v>520</v>
      </c>
      <c r="F76" s="1120" t="s">
        <v>3350</v>
      </c>
      <c r="G76" s="1401"/>
      <c r="H76" s="1061">
        <f t="shared" si="70"/>
        <v>12228000</v>
      </c>
      <c r="I76" s="1061">
        <f t="shared" si="71"/>
        <v>17772000</v>
      </c>
      <c r="J76" s="1401"/>
      <c r="K76" s="1284"/>
      <c r="L76" s="1284"/>
      <c r="M76" s="1115">
        <v>7</v>
      </c>
      <c r="N76" s="1115">
        <v>30</v>
      </c>
      <c r="O76" s="1115">
        <v>2</v>
      </c>
      <c r="P76" s="1115">
        <v>41</v>
      </c>
      <c r="Q76" s="1115">
        <v>100</v>
      </c>
      <c r="R76" s="1115">
        <v>41</v>
      </c>
      <c r="S76" s="1120"/>
      <c r="T76" s="1120"/>
      <c r="U76" s="1120"/>
      <c r="V76" s="1120"/>
      <c r="W76" s="1120"/>
      <c r="X76" s="1120"/>
      <c r="Y76" s="1008">
        <f t="shared" si="72"/>
        <v>30000000</v>
      </c>
      <c r="Z76" s="944"/>
      <c r="AA76" s="1008"/>
      <c r="AB76" s="1008"/>
      <c r="AC76" s="1008"/>
      <c r="AD76" s="1008"/>
      <c r="AE76" s="1008">
        <v>30000000</v>
      </c>
      <c r="AF76" s="1008"/>
      <c r="AG76" s="1008"/>
      <c r="AH76" s="1008"/>
      <c r="AI76" s="1008"/>
      <c r="AJ76" s="1008"/>
      <c r="AK76" s="1008"/>
      <c r="AL76" s="1008"/>
      <c r="AM76" s="1008"/>
      <c r="AN76" s="1008"/>
      <c r="AO76" s="1008"/>
      <c r="AP76" s="1008"/>
      <c r="AQ76" s="1008"/>
      <c r="AR76" s="1008"/>
      <c r="AS76" s="1008"/>
      <c r="AU76" s="1011">
        <f t="shared" si="73"/>
        <v>1</v>
      </c>
      <c r="AV76" s="1008">
        <f t="shared" si="74"/>
        <v>30000000</v>
      </c>
      <c r="AW76" s="1008"/>
      <c r="AX76" s="1008"/>
      <c r="AY76" s="1008"/>
      <c r="AZ76" s="1008"/>
      <c r="BA76" s="1008"/>
      <c r="BB76" s="1008">
        <f>+'[9]FEBRERO 2015'!$N$1070</f>
        <v>30000000</v>
      </c>
      <c r="BC76" s="1008"/>
      <c r="BD76" s="1008"/>
      <c r="BE76" s="1008"/>
      <c r="BF76" s="1008"/>
      <c r="BG76" s="1008"/>
      <c r="BH76" s="1008"/>
      <c r="BI76" s="1008"/>
      <c r="BJ76" s="1008"/>
      <c r="BK76" s="1008"/>
      <c r="BL76" s="1008"/>
      <c r="BM76" s="1008"/>
      <c r="BN76" s="1008"/>
      <c r="BO76" s="1008"/>
      <c r="BP76" s="1008"/>
      <c r="BQ76" s="1011">
        <f t="shared" si="25"/>
        <v>0</v>
      </c>
      <c r="BR76" s="1008">
        <f t="shared" si="75"/>
        <v>0</v>
      </c>
      <c r="BS76" s="1008">
        <f t="shared" si="76"/>
        <v>0</v>
      </c>
      <c r="BT76" s="1008">
        <f t="shared" si="77"/>
        <v>0</v>
      </c>
      <c r="BU76" s="1008"/>
      <c r="BV76" s="1008">
        <f t="shared" si="78"/>
        <v>0</v>
      </c>
      <c r="BW76" s="1008"/>
      <c r="BX76" s="1008">
        <f t="shared" si="79"/>
        <v>0</v>
      </c>
      <c r="BY76" s="1008">
        <f t="shared" si="79"/>
        <v>0</v>
      </c>
      <c r="BZ76" s="1008"/>
      <c r="CA76" s="1008">
        <f>AH76-BE76</f>
        <v>0</v>
      </c>
      <c r="CB76" s="1008">
        <f t="shared" si="80"/>
        <v>0</v>
      </c>
      <c r="CC76" s="1008">
        <f t="shared" si="80"/>
        <v>0</v>
      </c>
      <c r="CD76" s="1008">
        <f t="shared" si="80"/>
        <v>0</v>
      </c>
      <c r="CE76" s="1008">
        <f t="shared" si="80"/>
        <v>0</v>
      </c>
      <c r="CF76" s="1008">
        <f t="shared" si="80"/>
        <v>0</v>
      </c>
      <c r="CG76" s="1008">
        <f>AN76-BK76</f>
        <v>0</v>
      </c>
      <c r="CH76" s="1008">
        <f t="shared" si="80"/>
        <v>0</v>
      </c>
      <c r="CI76" s="1008">
        <f t="shared" si="80"/>
        <v>0</v>
      </c>
      <c r="CJ76" s="1008">
        <f>+AQ76-BN76</f>
        <v>0</v>
      </c>
      <c r="CK76" s="1008"/>
      <c r="CL76" s="1008">
        <f t="shared" si="81"/>
        <v>0</v>
      </c>
      <c r="CM76" s="1011">
        <f t="shared" si="82"/>
        <v>0.40760000000000002</v>
      </c>
      <c r="CN76" s="1008">
        <f t="shared" si="83"/>
        <v>12228000</v>
      </c>
      <c r="CO76" s="1008"/>
      <c r="CP76" s="1008"/>
      <c r="CQ76" s="1008"/>
      <c r="CR76" s="1008"/>
      <c r="CS76" s="1008"/>
      <c r="CT76" s="1008">
        <f>+'[14]JUNIO 2015'!$H$1939</f>
        <v>12228000</v>
      </c>
      <c r="CU76" s="1008"/>
      <c r="CV76" s="1008"/>
      <c r="CW76" s="1008"/>
      <c r="CX76" s="1008"/>
      <c r="CY76" s="1008"/>
      <c r="CZ76" s="1008"/>
      <c r="DA76" s="1008"/>
      <c r="DB76" s="1008"/>
      <c r="DC76" s="1008"/>
      <c r="DD76" s="1008"/>
      <c r="DE76" s="1008"/>
      <c r="DF76" s="1008"/>
      <c r="DG76" s="1008"/>
      <c r="DH76" s="1008"/>
      <c r="DI76" s="1011">
        <f t="shared" si="84"/>
        <v>0.59240000000000004</v>
      </c>
      <c r="DJ76" s="1008">
        <f t="shared" si="85"/>
        <v>17772000</v>
      </c>
      <c r="DK76" s="1008"/>
      <c r="DL76" s="1008"/>
      <c r="DM76" s="1008"/>
      <c r="DN76" s="1008">
        <f t="shared" si="86"/>
        <v>0</v>
      </c>
      <c r="DO76" s="1008"/>
      <c r="DP76" s="1008">
        <f t="shared" si="87"/>
        <v>17772000</v>
      </c>
      <c r="DQ76" s="1008">
        <f t="shared" si="87"/>
        <v>0</v>
      </c>
      <c r="DR76" s="1008"/>
      <c r="DS76" s="1008">
        <f t="shared" si="88"/>
        <v>0</v>
      </c>
      <c r="DT76" s="1008">
        <f t="shared" si="88"/>
        <v>0</v>
      </c>
      <c r="DU76" s="1008"/>
      <c r="DV76" s="1008">
        <f t="shared" si="89"/>
        <v>0</v>
      </c>
      <c r="DW76" s="1008">
        <f t="shared" si="89"/>
        <v>0</v>
      </c>
      <c r="DX76" s="1008">
        <f t="shared" si="89"/>
        <v>0</v>
      </c>
      <c r="DY76" s="1008">
        <f t="shared" si="90"/>
        <v>0</v>
      </c>
      <c r="DZ76" s="1008">
        <f t="shared" si="90"/>
        <v>0</v>
      </c>
      <c r="EA76" s="1008">
        <f t="shared" si="90"/>
        <v>0</v>
      </c>
      <c r="EB76" s="1008">
        <f t="shared" si="90"/>
        <v>0</v>
      </c>
      <c r="EC76" s="1008"/>
      <c r="ED76" s="1008">
        <f t="shared" si="91"/>
        <v>0</v>
      </c>
    </row>
    <row r="77" spans="1:134" ht="30" hidden="1" customHeight="1" x14ac:dyDescent="0.25">
      <c r="A77" s="1565"/>
      <c r="B77" s="1019" t="s">
        <v>4350</v>
      </c>
      <c r="C77" s="1116" t="s">
        <v>4414</v>
      </c>
      <c r="D77" s="1019" t="s">
        <v>4351</v>
      </c>
      <c r="E77" s="1020">
        <v>520</v>
      </c>
      <c r="F77" s="1120" t="s">
        <v>4736</v>
      </c>
      <c r="G77" s="1399">
        <v>1710000000</v>
      </c>
      <c r="H77" s="1061">
        <f t="shared" si="70"/>
        <v>0</v>
      </c>
      <c r="I77" s="1061">
        <f t="shared" si="71"/>
        <v>2898900</v>
      </c>
      <c r="J77" s="1399" t="s">
        <v>4864</v>
      </c>
      <c r="K77" s="1283" t="s">
        <v>4870</v>
      </c>
      <c r="L77" s="1283" t="s">
        <v>4877</v>
      </c>
      <c r="M77" s="1115">
        <v>0</v>
      </c>
      <c r="N77" s="1115">
        <v>0</v>
      </c>
      <c r="O77" s="1115">
        <v>0</v>
      </c>
      <c r="P77" s="1115">
        <v>0</v>
      </c>
      <c r="Q77" s="1115">
        <v>0</v>
      </c>
      <c r="R77" s="1115">
        <v>0</v>
      </c>
      <c r="S77" s="1120"/>
      <c r="T77" s="1120"/>
      <c r="U77" s="1120"/>
      <c r="V77" s="1120"/>
      <c r="W77" s="1120"/>
      <c r="X77" s="1120"/>
      <c r="Y77" s="1008">
        <f t="shared" si="72"/>
        <v>2898900</v>
      </c>
      <c r="Z77" s="944"/>
      <c r="AA77" s="944"/>
      <c r="AB77" s="944"/>
      <c r="AC77" s="944"/>
      <c r="AD77" s="944"/>
      <c r="AE77" s="944"/>
      <c r="AF77" s="1008"/>
      <c r="AG77" s="1008"/>
      <c r="AH77" s="1008"/>
      <c r="AI77" s="1008"/>
      <c r="AJ77" s="1008"/>
      <c r="AK77" s="1008"/>
      <c r="AL77" s="1008"/>
      <c r="AM77" s="1008"/>
      <c r="AN77" s="1008"/>
      <c r="AO77" s="1008"/>
      <c r="AP77" s="1008"/>
      <c r="AQ77" s="1008"/>
      <c r="AR77" s="1008"/>
      <c r="AS77" s="1008">
        <f>2500000+398900</f>
        <v>2898900</v>
      </c>
      <c r="AU77" s="1011">
        <f t="shared" si="73"/>
        <v>1</v>
      </c>
      <c r="AV77" s="1008">
        <f t="shared" si="74"/>
        <v>2898900</v>
      </c>
      <c r="AW77" s="1008"/>
      <c r="AX77" s="1008"/>
      <c r="AY77" s="1008"/>
      <c r="AZ77" s="1008"/>
      <c r="BA77" s="1008"/>
      <c r="BB77" s="1008"/>
      <c r="BC77" s="1008"/>
      <c r="BD77" s="1008"/>
      <c r="BE77" s="1008"/>
      <c r="BF77" s="1008"/>
      <c r="BG77" s="1008"/>
      <c r="BH77" s="1008"/>
      <c r="BI77" s="1008"/>
      <c r="BJ77" s="1008"/>
      <c r="BK77" s="1008"/>
      <c r="BL77" s="1008"/>
      <c r="BM77" s="1008"/>
      <c r="BN77" s="1008"/>
      <c r="BO77" s="1008"/>
      <c r="BP77" s="1008">
        <f>+'[15]JULIO 2015'!$AD$2291</f>
        <v>2898900</v>
      </c>
      <c r="BQ77" s="1011">
        <f t="shared" si="25"/>
        <v>0</v>
      </c>
      <c r="BR77" s="1008">
        <f t="shared" si="75"/>
        <v>0</v>
      </c>
      <c r="BS77" s="1008">
        <f t="shared" si="76"/>
        <v>0</v>
      </c>
      <c r="BT77" s="1008">
        <f t="shared" si="77"/>
        <v>0</v>
      </c>
      <c r="BU77" s="1008"/>
      <c r="BV77" s="1008">
        <f t="shared" si="78"/>
        <v>0</v>
      </c>
      <c r="BW77" s="1008"/>
      <c r="BX77" s="1008">
        <f t="shared" si="79"/>
        <v>0</v>
      </c>
      <c r="BY77" s="1008">
        <f t="shared" si="79"/>
        <v>0</v>
      </c>
      <c r="BZ77" s="1008"/>
      <c r="CA77" s="1008">
        <f>AH77-BE77</f>
        <v>0</v>
      </c>
      <c r="CB77" s="1008">
        <f t="shared" si="80"/>
        <v>0</v>
      </c>
      <c r="CC77" s="1008">
        <f t="shared" si="80"/>
        <v>0</v>
      </c>
      <c r="CD77" s="1008">
        <f t="shared" si="80"/>
        <v>0</v>
      </c>
      <c r="CE77" s="1008">
        <f t="shared" si="80"/>
        <v>0</v>
      </c>
      <c r="CF77" s="1008">
        <f t="shared" si="80"/>
        <v>0</v>
      </c>
      <c r="CG77" s="1008">
        <f>AN77-BK77</f>
        <v>0</v>
      </c>
      <c r="CH77" s="1008">
        <f t="shared" si="80"/>
        <v>0</v>
      </c>
      <c r="CI77" s="1008">
        <f t="shared" si="80"/>
        <v>0</v>
      </c>
      <c r="CJ77" s="1008"/>
      <c r="CK77" s="1008"/>
      <c r="CL77" s="1008">
        <f t="shared" si="81"/>
        <v>0</v>
      </c>
      <c r="CM77" s="1011">
        <f t="shared" si="82"/>
        <v>0</v>
      </c>
      <c r="CN77" s="1008">
        <f t="shared" si="83"/>
        <v>0</v>
      </c>
      <c r="CO77" s="1008"/>
      <c r="CP77" s="1008"/>
      <c r="CQ77" s="1008"/>
      <c r="CR77" s="1008"/>
      <c r="CS77" s="1008"/>
      <c r="CT77" s="1008"/>
      <c r="CU77" s="1008"/>
      <c r="CV77" s="1008"/>
      <c r="CW77" s="1008"/>
      <c r="CX77" s="1008"/>
      <c r="CY77" s="1008"/>
      <c r="CZ77" s="1008"/>
      <c r="DA77" s="1008"/>
      <c r="DB77" s="1008"/>
      <c r="DC77" s="1008"/>
      <c r="DD77" s="1008"/>
      <c r="DE77" s="1008"/>
      <c r="DF77" s="1008"/>
      <c r="DG77" s="1008"/>
      <c r="DH77" s="1008"/>
      <c r="DI77" s="1011">
        <f t="shared" si="84"/>
        <v>1</v>
      </c>
      <c r="DJ77" s="1008">
        <f t="shared" si="85"/>
        <v>2898900</v>
      </c>
      <c r="DK77" s="1008"/>
      <c r="DL77" s="1008"/>
      <c r="DM77" s="1008"/>
      <c r="DN77" s="1008">
        <f t="shared" si="86"/>
        <v>0</v>
      </c>
      <c r="DO77" s="1008"/>
      <c r="DP77" s="1008">
        <f t="shared" si="87"/>
        <v>0</v>
      </c>
      <c r="DQ77" s="1008">
        <f t="shared" si="87"/>
        <v>0</v>
      </c>
      <c r="DR77" s="1008"/>
      <c r="DS77" s="1008">
        <f t="shared" si="88"/>
        <v>0</v>
      </c>
      <c r="DT77" s="1008">
        <f t="shared" si="88"/>
        <v>0</v>
      </c>
      <c r="DU77" s="1008"/>
      <c r="DV77" s="1008">
        <f t="shared" si="89"/>
        <v>0</v>
      </c>
      <c r="DW77" s="1008">
        <f t="shared" si="89"/>
        <v>0</v>
      </c>
      <c r="DX77" s="1008">
        <f t="shared" si="89"/>
        <v>0</v>
      </c>
      <c r="DY77" s="1008">
        <f t="shared" si="90"/>
        <v>0</v>
      </c>
      <c r="DZ77" s="1008">
        <f t="shared" si="90"/>
        <v>0</v>
      </c>
      <c r="EA77" s="1008">
        <f t="shared" si="90"/>
        <v>0</v>
      </c>
      <c r="EB77" s="1008">
        <f t="shared" si="90"/>
        <v>0</v>
      </c>
      <c r="EC77" s="1008"/>
      <c r="ED77" s="1008">
        <f t="shared" si="91"/>
        <v>2898900</v>
      </c>
    </row>
    <row r="78" spans="1:134" ht="24.75" hidden="1" customHeight="1" x14ac:dyDescent="0.25">
      <c r="A78" s="1565"/>
      <c r="B78" s="1019"/>
      <c r="C78" s="1116" t="s">
        <v>4415</v>
      </c>
      <c r="D78" s="1019" t="s">
        <v>4651</v>
      </c>
      <c r="E78" s="1020">
        <v>520</v>
      </c>
      <c r="F78" s="1120" t="s">
        <v>4319</v>
      </c>
      <c r="G78" s="1400"/>
      <c r="H78" s="1061">
        <f t="shared" si="70"/>
        <v>273724134</v>
      </c>
      <c r="I78" s="1061">
        <f t="shared" si="71"/>
        <v>1275866</v>
      </c>
      <c r="J78" s="1401"/>
      <c r="K78" s="1284"/>
      <c r="L78" s="1284"/>
      <c r="M78" s="1115">
        <v>11</v>
      </c>
      <c r="N78" s="1115">
        <v>140</v>
      </c>
      <c r="O78" s="1115">
        <v>15</v>
      </c>
      <c r="P78" s="1115">
        <v>72</v>
      </c>
      <c r="Q78" s="1115">
        <v>160</v>
      </c>
      <c r="R78" s="1115">
        <v>116</v>
      </c>
      <c r="S78" s="1120"/>
      <c r="T78" s="1120"/>
      <c r="U78" s="1120"/>
      <c r="V78" s="1120"/>
      <c r="W78" s="1120"/>
      <c r="X78" s="1120"/>
      <c r="Y78" s="1008">
        <f t="shared" si="72"/>
        <v>275000000</v>
      </c>
      <c r="Z78" s="944"/>
      <c r="AA78" s="1017">
        <f>300000000-300000000</f>
        <v>0</v>
      </c>
      <c r="AB78" s="1017"/>
      <c r="AC78" s="944"/>
      <c r="AD78" s="944"/>
      <c r="AE78" s="944"/>
      <c r="AF78" s="1008">
        <f>300000000-25000000</f>
        <v>275000000</v>
      </c>
      <c r="AG78" s="1008"/>
      <c r="AH78" s="1008"/>
      <c r="AI78" s="1008"/>
      <c r="AJ78" s="1008"/>
      <c r="AK78" s="1008"/>
      <c r="AL78" s="1008"/>
      <c r="AM78" s="1008"/>
      <c r="AN78" s="1008"/>
      <c r="AO78" s="1008"/>
      <c r="AP78" s="1008"/>
      <c r="AQ78" s="1008"/>
      <c r="AR78" s="1008"/>
      <c r="AS78" s="1008"/>
      <c r="AU78" s="1011">
        <f t="shared" si="73"/>
        <v>1</v>
      </c>
      <c r="AV78" s="1008">
        <f t="shared" si="74"/>
        <v>275000000</v>
      </c>
      <c r="AW78" s="1008"/>
      <c r="AX78" s="1008"/>
      <c r="AY78" s="1008"/>
      <c r="AZ78" s="1008"/>
      <c r="BA78" s="1008"/>
      <c r="BB78" s="1008"/>
      <c r="BC78" s="1008">
        <f>+'[8]FEBRERO 2015'!$O$1154-25000000</f>
        <v>275000000</v>
      </c>
      <c r="BD78" s="1008"/>
      <c r="BE78" s="1008"/>
      <c r="BF78" s="1008"/>
      <c r="BG78" s="1008"/>
      <c r="BH78" s="1008"/>
      <c r="BI78" s="1008"/>
      <c r="BJ78" s="1008"/>
      <c r="BK78" s="1008"/>
      <c r="BL78" s="1008"/>
      <c r="BM78" s="1008"/>
      <c r="BN78" s="1008"/>
      <c r="BO78" s="1008"/>
      <c r="BP78" s="1008"/>
      <c r="BQ78" s="1011">
        <f t="shared" si="25"/>
        <v>0</v>
      </c>
      <c r="BR78" s="1008">
        <f t="shared" si="75"/>
        <v>0</v>
      </c>
      <c r="BS78" s="1008">
        <f t="shared" si="76"/>
        <v>0</v>
      </c>
      <c r="BT78" s="1008">
        <f t="shared" si="77"/>
        <v>0</v>
      </c>
      <c r="BU78" s="1008"/>
      <c r="BV78" s="1008">
        <f t="shared" si="78"/>
        <v>0</v>
      </c>
      <c r="BW78" s="1008"/>
      <c r="BX78" s="1008">
        <f t="shared" si="79"/>
        <v>0</v>
      </c>
      <c r="BY78" s="1008">
        <f t="shared" si="79"/>
        <v>0</v>
      </c>
      <c r="BZ78" s="1008"/>
      <c r="CA78" s="1008">
        <f>AH78-BE78</f>
        <v>0</v>
      </c>
      <c r="CB78" s="1008">
        <f t="shared" si="80"/>
        <v>0</v>
      </c>
      <c r="CC78" s="1008">
        <f t="shared" si="80"/>
        <v>0</v>
      </c>
      <c r="CD78" s="1008">
        <f t="shared" si="80"/>
        <v>0</v>
      </c>
      <c r="CE78" s="1008">
        <f t="shared" si="80"/>
        <v>0</v>
      </c>
      <c r="CF78" s="1008">
        <f t="shared" si="80"/>
        <v>0</v>
      </c>
      <c r="CG78" s="1008">
        <f>AN78-BK78</f>
        <v>0</v>
      </c>
      <c r="CH78" s="1008">
        <f t="shared" si="80"/>
        <v>0</v>
      </c>
      <c r="CI78" s="1008">
        <f t="shared" si="80"/>
        <v>0</v>
      </c>
      <c r="CJ78" s="1008"/>
      <c r="CK78" s="1008"/>
      <c r="CL78" s="1008">
        <f t="shared" si="81"/>
        <v>0</v>
      </c>
      <c r="CM78" s="1011">
        <f t="shared" si="82"/>
        <v>0.9953604872727273</v>
      </c>
      <c r="CN78" s="1008">
        <f t="shared" si="83"/>
        <v>273724134</v>
      </c>
      <c r="CO78" s="1008"/>
      <c r="CP78" s="1008"/>
      <c r="CQ78" s="1008"/>
      <c r="CR78" s="1008"/>
      <c r="CS78" s="1008"/>
      <c r="CT78" s="1008"/>
      <c r="CU78" s="1008">
        <f>+'[18]OCTUBRE 2015'!$H$3574</f>
        <v>273724134</v>
      </c>
      <c r="CV78" s="1008"/>
      <c r="CW78" s="1008"/>
      <c r="CX78" s="1008"/>
      <c r="CY78" s="1008"/>
      <c r="CZ78" s="1008"/>
      <c r="DA78" s="1008"/>
      <c r="DB78" s="1008"/>
      <c r="DC78" s="1008"/>
      <c r="DD78" s="1008"/>
      <c r="DE78" s="1008"/>
      <c r="DF78" s="1008"/>
      <c r="DG78" s="1008"/>
      <c r="DH78" s="1008"/>
      <c r="DI78" s="1011">
        <f t="shared" si="84"/>
        <v>4.6395127272726988E-3</v>
      </c>
      <c r="DJ78" s="1008">
        <f t="shared" si="85"/>
        <v>1275866</v>
      </c>
      <c r="DK78" s="1008"/>
      <c r="DL78" s="1008">
        <f>AA78-CP78</f>
        <v>0</v>
      </c>
      <c r="DM78" s="1008">
        <f>AB78-CQ78</f>
        <v>0</v>
      </c>
      <c r="DN78" s="1008">
        <f t="shared" si="86"/>
        <v>0</v>
      </c>
      <c r="DO78" s="1008"/>
      <c r="DP78" s="1008">
        <f t="shared" si="87"/>
        <v>0</v>
      </c>
      <c r="DQ78" s="1008">
        <f t="shared" si="87"/>
        <v>1275866</v>
      </c>
      <c r="DR78" s="1008"/>
      <c r="DS78" s="1008">
        <f t="shared" si="88"/>
        <v>0</v>
      </c>
      <c r="DT78" s="1008">
        <f t="shared" si="88"/>
        <v>0</v>
      </c>
      <c r="DU78" s="1008"/>
      <c r="DV78" s="1008">
        <f t="shared" si="89"/>
        <v>0</v>
      </c>
      <c r="DW78" s="1008">
        <f t="shared" si="89"/>
        <v>0</v>
      </c>
      <c r="DX78" s="1008">
        <f t="shared" si="89"/>
        <v>0</v>
      </c>
      <c r="DY78" s="1008">
        <f t="shared" si="90"/>
        <v>0</v>
      </c>
      <c r="DZ78" s="1008">
        <f t="shared" si="90"/>
        <v>0</v>
      </c>
      <c r="EA78" s="1008">
        <f t="shared" si="90"/>
        <v>0</v>
      </c>
      <c r="EB78" s="1008">
        <f t="shared" si="90"/>
        <v>0</v>
      </c>
      <c r="EC78" s="1008"/>
      <c r="ED78" s="1008">
        <f t="shared" si="91"/>
        <v>0</v>
      </c>
    </row>
    <row r="79" spans="1:134" ht="46.5" hidden="1" customHeight="1" x14ac:dyDescent="0.25">
      <c r="A79" s="1565"/>
      <c r="B79" s="1019"/>
      <c r="C79" s="1116" t="s">
        <v>4416</v>
      </c>
      <c r="D79" s="1019" t="s">
        <v>4352</v>
      </c>
      <c r="E79" s="1020">
        <v>520</v>
      </c>
      <c r="F79" s="1120" t="s">
        <v>4347</v>
      </c>
      <c r="G79" s="1400"/>
      <c r="H79" s="1061">
        <f t="shared" si="70"/>
        <v>770398</v>
      </c>
      <c r="I79" s="1061">
        <f t="shared" si="71"/>
        <v>13396003</v>
      </c>
      <c r="J79" s="1120" t="s">
        <v>4865</v>
      </c>
      <c r="K79" s="1115" t="s">
        <v>4871</v>
      </c>
      <c r="L79" s="1115" t="s">
        <v>4878</v>
      </c>
      <c r="M79" s="1115">
        <v>10</v>
      </c>
      <c r="N79" s="1115">
        <v>0</v>
      </c>
      <c r="O79" s="1115">
        <v>0</v>
      </c>
      <c r="P79" s="1115">
        <v>5</v>
      </c>
      <c r="Q79" s="1115">
        <v>0</v>
      </c>
      <c r="R79" s="1115">
        <v>0</v>
      </c>
      <c r="S79" s="1120"/>
      <c r="T79" s="1120"/>
      <c r="U79" s="1120"/>
      <c r="V79" s="1120"/>
      <c r="W79" s="1120"/>
      <c r="X79" s="1120"/>
      <c r="Y79" s="1008">
        <f t="shared" si="72"/>
        <v>14166401</v>
      </c>
      <c r="Z79" s="944"/>
      <c r="AA79" s="944"/>
      <c r="AB79" s="944"/>
      <c r="AC79" s="944"/>
      <c r="AD79" s="944"/>
      <c r="AE79" s="944"/>
      <c r="AF79" s="1008"/>
      <c r="AG79" s="1008"/>
      <c r="AH79" s="1008"/>
      <c r="AI79" s="1008"/>
      <c r="AJ79" s="1008"/>
      <c r="AK79" s="1008"/>
      <c r="AL79" s="1008"/>
      <c r="AM79" s="1008"/>
      <c r="AN79" s="1008"/>
      <c r="AO79" s="1008"/>
      <c r="AP79" s="1008"/>
      <c r="AQ79" s="1008"/>
      <c r="AR79" s="1008"/>
      <c r="AS79" s="1008">
        <f>5000000+3000000+6166401</f>
        <v>14166401</v>
      </c>
      <c r="AU79" s="1011">
        <f t="shared" si="73"/>
        <v>0.3529477952798315</v>
      </c>
      <c r="AV79" s="1008">
        <f t="shared" si="74"/>
        <v>5000000</v>
      </c>
      <c r="AW79" s="1008"/>
      <c r="AX79" s="1008"/>
      <c r="AY79" s="1008"/>
      <c r="AZ79" s="1008"/>
      <c r="BA79" s="1008"/>
      <c r="BB79" s="1008"/>
      <c r="BC79" s="1008"/>
      <c r="BD79" s="1008"/>
      <c r="BE79" s="1008"/>
      <c r="BF79" s="1008"/>
      <c r="BG79" s="1008"/>
      <c r="BH79" s="1008"/>
      <c r="BI79" s="1008"/>
      <c r="BJ79" s="1008"/>
      <c r="BK79" s="1008"/>
      <c r="BL79" s="1008"/>
      <c r="BM79" s="1008"/>
      <c r="BN79" s="1008"/>
      <c r="BO79" s="1008"/>
      <c r="BP79" s="1008">
        <f>+'[9]FEBRERO 2015'!$AC$1088</f>
        <v>5000000</v>
      </c>
      <c r="BQ79" s="1011">
        <f t="shared" si="25"/>
        <v>0.64705220472016856</v>
      </c>
      <c r="BR79" s="1008">
        <f t="shared" si="75"/>
        <v>9166401</v>
      </c>
      <c r="BS79" s="1008">
        <f t="shared" si="76"/>
        <v>0</v>
      </c>
      <c r="BT79" s="1008">
        <f t="shared" si="77"/>
        <v>0</v>
      </c>
      <c r="BU79" s="1008"/>
      <c r="BV79" s="1008">
        <f t="shared" si="78"/>
        <v>0</v>
      </c>
      <c r="BW79" s="1008"/>
      <c r="BX79" s="1008">
        <f t="shared" si="79"/>
        <v>0</v>
      </c>
      <c r="BY79" s="1008">
        <f t="shared" si="79"/>
        <v>0</v>
      </c>
      <c r="BZ79" s="1008"/>
      <c r="CA79" s="1008">
        <f>AH79-BE79</f>
        <v>0</v>
      </c>
      <c r="CB79" s="1008">
        <f t="shared" si="80"/>
        <v>0</v>
      </c>
      <c r="CC79" s="1008">
        <f t="shared" si="80"/>
        <v>0</v>
      </c>
      <c r="CD79" s="1008">
        <f t="shared" si="80"/>
        <v>0</v>
      </c>
      <c r="CE79" s="1008">
        <f t="shared" si="80"/>
        <v>0</v>
      </c>
      <c r="CF79" s="1008">
        <f t="shared" si="80"/>
        <v>0</v>
      </c>
      <c r="CG79" s="1008">
        <f>AN79-BK79</f>
        <v>0</v>
      </c>
      <c r="CH79" s="1008">
        <f t="shared" si="80"/>
        <v>0</v>
      </c>
      <c r="CI79" s="1008">
        <f t="shared" si="80"/>
        <v>0</v>
      </c>
      <c r="CJ79" s="1008"/>
      <c r="CK79" s="1008"/>
      <c r="CL79" s="1008">
        <f t="shared" si="81"/>
        <v>9166401</v>
      </c>
      <c r="CM79" s="1011">
        <f t="shared" si="82"/>
        <v>5.4382055117598325E-2</v>
      </c>
      <c r="CN79" s="1008">
        <f t="shared" si="83"/>
        <v>770398</v>
      </c>
      <c r="CO79" s="1008"/>
      <c r="CP79" s="1008"/>
      <c r="CQ79" s="1008"/>
      <c r="CR79" s="1008"/>
      <c r="CS79" s="1008"/>
      <c r="CT79" s="1008"/>
      <c r="CU79" s="1008"/>
      <c r="CV79" s="1008"/>
      <c r="CW79" s="1008"/>
      <c r="CX79" s="1008"/>
      <c r="CY79" s="1008"/>
      <c r="CZ79" s="1008"/>
      <c r="DA79" s="1008"/>
      <c r="DB79" s="1008"/>
      <c r="DC79" s="1008"/>
      <c r="DD79" s="1008"/>
      <c r="DE79" s="1008"/>
      <c r="DF79" s="1008"/>
      <c r="DG79" s="1008"/>
      <c r="DH79" s="1008">
        <f>+'[9]FEBRERO 2015'!$H$1086</f>
        <v>770398</v>
      </c>
      <c r="DI79" s="1011">
        <f t="shared" si="84"/>
        <v>0.9456179448824017</v>
      </c>
      <c r="DJ79" s="1008">
        <f t="shared" si="85"/>
        <v>13396003</v>
      </c>
      <c r="DK79" s="1008"/>
      <c r="DL79" s="1008"/>
      <c r="DM79" s="1008"/>
      <c r="DN79" s="1008">
        <f t="shared" si="86"/>
        <v>0</v>
      </c>
      <c r="DO79" s="1008"/>
      <c r="DP79" s="1008">
        <f t="shared" si="87"/>
        <v>0</v>
      </c>
      <c r="DQ79" s="1008">
        <f t="shared" si="87"/>
        <v>0</v>
      </c>
      <c r="DR79" s="1008"/>
      <c r="DS79" s="1008">
        <f t="shared" si="88"/>
        <v>0</v>
      </c>
      <c r="DT79" s="1008">
        <f t="shared" si="88"/>
        <v>0</v>
      </c>
      <c r="DU79" s="1008"/>
      <c r="DV79" s="1008">
        <f t="shared" si="89"/>
        <v>0</v>
      </c>
      <c r="DW79" s="1008">
        <f t="shared" si="89"/>
        <v>0</v>
      </c>
      <c r="DX79" s="1008">
        <f t="shared" si="89"/>
        <v>0</v>
      </c>
      <c r="DY79" s="1008">
        <f t="shared" si="90"/>
        <v>0</v>
      </c>
      <c r="DZ79" s="1008">
        <f t="shared" si="90"/>
        <v>0</v>
      </c>
      <c r="EA79" s="1008">
        <f t="shared" si="90"/>
        <v>0</v>
      </c>
      <c r="EB79" s="1008">
        <f t="shared" si="90"/>
        <v>0</v>
      </c>
      <c r="EC79" s="1008"/>
      <c r="ED79" s="1008">
        <f t="shared" si="91"/>
        <v>13396003</v>
      </c>
    </row>
    <row r="80" spans="1:134" ht="37.5" hidden="1" customHeight="1" x14ac:dyDescent="0.25">
      <c r="A80" s="1565"/>
      <c r="B80" s="1019"/>
      <c r="C80" s="1116" t="s">
        <v>4417</v>
      </c>
      <c r="D80" s="1019" t="s">
        <v>4355</v>
      </c>
      <c r="E80" s="1020">
        <v>520</v>
      </c>
      <c r="F80" s="1120" t="s">
        <v>4670</v>
      </c>
      <c r="G80" s="1400"/>
      <c r="H80" s="1061">
        <f t="shared" si="70"/>
        <v>4550000</v>
      </c>
      <c r="I80" s="1061">
        <f t="shared" si="71"/>
        <v>0</v>
      </c>
      <c r="J80" s="1120" t="s">
        <v>4866</v>
      </c>
      <c r="K80" s="1115" t="s">
        <v>4872</v>
      </c>
      <c r="L80" s="1115" t="s">
        <v>4879</v>
      </c>
      <c r="M80" s="1115">
        <v>0</v>
      </c>
      <c r="N80" s="1115">
        <v>0</v>
      </c>
      <c r="O80" s="1115">
        <v>0</v>
      </c>
      <c r="P80" s="1115">
        <v>46</v>
      </c>
      <c r="Q80" s="1115">
        <v>50</v>
      </c>
      <c r="R80" s="1115">
        <v>23</v>
      </c>
      <c r="S80" s="1120"/>
      <c r="T80" s="1120"/>
      <c r="U80" s="1120"/>
      <c r="V80" s="1120"/>
      <c r="W80" s="1120"/>
      <c r="X80" s="1120"/>
      <c r="Y80" s="1008">
        <f t="shared" si="72"/>
        <v>4550000</v>
      </c>
      <c r="Z80" s="944"/>
      <c r="AA80" s="944"/>
      <c r="AB80" s="944"/>
      <c r="AC80" s="944"/>
      <c r="AD80" s="944"/>
      <c r="AE80" s="944"/>
      <c r="AF80" s="1008"/>
      <c r="AG80" s="1008"/>
      <c r="AH80" s="1008"/>
      <c r="AI80" s="1008"/>
      <c r="AJ80" s="1008"/>
      <c r="AK80" s="1008"/>
      <c r="AL80" s="1008"/>
      <c r="AM80" s="1008"/>
      <c r="AN80" s="1008"/>
      <c r="AO80" s="1008"/>
      <c r="AP80" s="1008"/>
      <c r="AQ80" s="1008"/>
      <c r="AR80" s="1008"/>
      <c r="AS80" s="1008">
        <f>5000000+5000000-5450000</f>
        <v>4550000</v>
      </c>
      <c r="AU80" s="1011">
        <f t="shared" si="73"/>
        <v>1</v>
      </c>
      <c r="AV80" s="1008">
        <f t="shared" si="74"/>
        <v>4550000</v>
      </c>
      <c r="AW80" s="1008"/>
      <c r="AX80" s="1008"/>
      <c r="AY80" s="1008"/>
      <c r="AZ80" s="1008"/>
      <c r="BA80" s="1008"/>
      <c r="BB80" s="1008"/>
      <c r="BC80" s="1008"/>
      <c r="BD80" s="1008"/>
      <c r="BE80" s="1008"/>
      <c r="BF80" s="1008"/>
      <c r="BG80" s="1008"/>
      <c r="BH80" s="1008"/>
      <c r="BI80" s="1008"/>
      <c r="BJ80" s="1008"/>
      <c r="BK80" s="1008"/>
      <c r="BL80" s="1008"/>
      <c r="BM80" s="1008"/>
      <c r="BN80" s="1008"/>
      <c r="BO80" s="1008"/>
      <c r="BP80" s="1008">
        <f>+'[16]AGOSTO 2015'!$AD$2654</f>
        <v>4550000</v>
      </c>
      <c r="BQ80" s="1011">
        <f t="shared" si="25"/>
        <v>0</v>
      </c>
      <c r="BR80" s="1008">
        <f t="shared" si="75"/>
        <v>0</v>
      </c>
      <c r="BS80" s="1008">
        <f t="shared" si="76"/>
        <v>0</v>
      </c>
      <c r="BT80" s="1008">
        <f t="shared" si="77"/>
        <v>0</v>
      </c>
      <c r="BU80" s="1008"/>
      <c r="BV80" s="1008">
        <f t="shared" si="78"/>
        <v>0</v>
      </c>
      <c r="BW80" s="1008"/>
      <c r="BX80" s="1008">
        <f t="shared" si="79"/>
        <v>0</v>
      </c>
      <c r="BY80" s="1008">
        <f t="shared" si="79"/>
        <v>0</v>
      </c>
      <c r="BZ80" s="1008"/>
      <c r="CA80" s="1008">
        <f>AH80-BE80</f>
        <v>0</v>
      </c>
      <c r="CB80" s="1008">
        <f t="shared" si="80"/>
        <v>0</v>
      </c>
      <c r="CC80" s="1008"/>
      <c r="CD80" s="1008">
        <f t="shared" si="80"/>
        <v>0</v>
      </c>
      <c r="CE80" s="1008">
        <f t="shared" si="80"/>
        <v>0</v>
      </c>
      <c r="CF80" s="1008">
        <f t="shared" si="80"/>
        <v>0</v>
      </c>
      <c r="CG80" s="1008">
        <f>AN80-BK80</f>
        <v>0</v>
      </c>
      <c r="CH80" s="1008">
        <f t="shared" si="80"/>
        <v>0</v>
      </c>
      <c r="CI80" s="1008">
        <f t="shared" si="80"/>
        <v>0</v>
      </c>
      <c r="CJ80" s="1008"/>
      <c r="CK80" s="1008"/>
      <c r="CL80" s="1008">
        <f t="shared" si="81"/>
        <v>0</v>
      </c>
      <c r="CM80" s="1011">
        <f t="shared" si="82"/>
        <v>1</v>
      </c>
      <c r="CN80" s="1008">
        <f t="shared" si="83"/>
        <v>4550000</v>
      </c>
      <c r="CO80" s="1008"/>
      <c r="CP80" s="1008"/>
      <c r="CQ80" s="1008"/>
      <c r="CR80" s="1008"/>
      <c r="CS80" s="1008"/>
      <c r="CT80" s="1008"/>
      <c r="CU80" s="1008"/>
      <c r="CV80" s="1008"/>
      <c r="CW80" s="1008"/>
      <c r="CX80" s="1008"/>
      <c r="CY80" s="1008"/>
      <c r="CZ80" s="1008"/>
      <c r="DA80" s="1008"/>
      <c r="DB80" s="1008"/>
      <c r="DC80" s="1008"/>
      <c r="DD80" s="1008"/>
      <c r="DE80" s="1008"/>
      <c r="DF80" s="1008"/>
      <c r="DG80" s="1008"/>
      <c r="DH80" s="1008">
        <f>+'[14]JUNIO 2015'!$H$2022</f>
        <v>4550000</v>
      </c>
      <c r="DI80" s="1011">
        <f t="shared" si="84"/>
        <v>0</v>
      </c>
      <c r="DJ80" s="1008">
        <f t="shared" si="85"/>
        <v>0</v>
      </c>
      <c r="DK80" s="1008"/>
      <c r="DL80" s="1008"/>
      <c r="DM80" s="1008"/>
      <c r="DN80" s="1008">
        <f t="shared" si="86"/>
        <v>0</v>
      </c>
      <c r="DO80" s="1008"/>
      <c r="DP80" s="1008">
        <f t="shared" si="87"/>
        <v>0</v>
      </c>
      <c r="DQ80" s="1008">
        <f t="shared" si="87"/>
        <v>0</v>
      </c>
      <c r="DR80" s="1008"/>
      <c r="DS80" s="1008">
        <f t="shared" si="88"/>
        <v>0</v>
      </c>
      <c r="DT80" s="1008">
        <f t="shared" si="88"/>
        <v>0</v>
      </c>
      <c r="DU80" s="1008"/>
      <c r="DV80" s="1008">
        <f t="shared" si="89"/>
        <v>0</v>
      </c>
      <c r="DW80" s="1008">
        <f t="shared" si="89"/>
        <v>0</v>
      </c>
      <c r="DX80" s="1008">
        <f t="shared" si="89"/>
        <v>0</v>
      </c>
      <c r="DY80" s="1008">
        <f t="shared" si="90"/>
        <v>0</v>
      </c>
      <c r="DZ80" s="1008">
        <f t="shared" si="90"/>
        <v>0</v>
      </c>
      <c r="EA80" s="1008">
        <f t="shared" si="90"/>
        <v>0</v>
      </c>
      <c r="EB80" s="1008">
        <f t="shared" si="90"/>
        <v>0</v>
      </c>
      <c r="EC80" s="1008"/>
      <c r="ED80" s="1008">
        <f t="shared" si="91"/>
        <v>0</v>
      </c>
    </row>
    <row r="81" spans="1:134" ht="33" hidden="1" customHeight="1" x14ac:dyDescent="0.25">
      <c r="A81" s="1565"/>
      <c r="B81" s="1019"/>
      <c r="C81" s="1116" t="s">
        <v>4418</v>
      </c>
      <c r="D81" s="1019" t="s">
        <v>4353</v>
      </c>
      <c r="E81" s="1020">
        <v>520</v>
      </c>
      <c r="F81" s="1120" t="s">
        <v>3350</v>
      </c>
      <c r="G81" s="1400"/>
      <c r="H81" s="1061">
        <f t="shared" si="70"/>
        <v>268064229</v>
      </c>
      <c r="I81" s="1061">
        <f t="shared" si="71"/>
        <v>81935771</v>
      </c>
      <c r="J81" s="1270" t="s">
        <v>4867</v>
      </c>
      <c r="K81" s="1305" t="s">
        <v>4873</v>
      </c>
      <c r="L81" s="1283" t="s">
        <v>4800</v>
      </c>
      <c r="M81" s="1115">
        <v>16</v>
      </c>
      <c r="N81" s="1115">
        <v>67</v>
      </c>
      <c r="O81" s="1115">
        <v>11</v>
      </c>
      <c r="P81" s="1115">
        <v>42</v>
      </c>
      <c r="Q81" s="1115">
        <v>67</v>
      </c>
      <c r="R81" s="1115">
        <v>28</v>
      </c>
      <c r="S81" s="1120"/>
      <c r="T81" s="1120"/>
      <c r="U81" s="1120"/>
      <c r="V81" s="1120"/>
      <c r="W81" s="1120"/>
      <c r="X81" s="1120"/>
      <c r="Y81" s="1008">
        <f t="shared" si="72"/>
        <v>350000000</v>
      </c>
      <c r="Z81" s="944"/>
      <c r="AA81" s="944"/>
      <c r="AB81" s="944"/>
      <c r="AC81" s="944"/>
      <c r="AD81" s="944"/>
      <c r="AE81" s="944"/>
      <c r="AF81" s="1008">
        <f>400000000-30000000-20000000</f>
        <v>350000000</v>
      </c>
      <c r="AG81" s="1008"/>
      <c r="AH81" s="1008"/>
      <c r="AI81" s="1008"/>
      <c r="AJ81" s="1008"/>
      <c r="AK81" s="1008"/>
      <c r="AL81" s="1008"/>
      <c r="AM81" s="1008"/>
      <c r="AN81" s="1008"/>
      <c r="AO81" s="1008"/>
      <c r="AP81" s="1008"/>
      <c r="AQ81" s="1008"/>
      <c r="AR81" s="1008"/>
      <c r="AS81" s="1008"/>
      <c r="AT81" s="203"/>
      <c r="AU81" s="1011">
        <f t="shared" si="73"/>
        <v>1</v>
      </c>
      <c r="AV81" s="1008">
        <f t="shared" si="74"/>
        <v>350000000</v>
      </c>
      <c r="AW81" s="1008"/>
      <c r="AX81" s="1008"/>
      <c r="AY81" s="1008"/>
      <c r="AZ81" s="1008"/>
      <c r="BA81" s="1008"/>
      <c r="BB81" s="1008"/>
      <c r="BC81" s="1008">
        <f>+'[10]MARZO 2015'!$O$1360-20000000</f>
        <v>350000000</v>
      </c>
      <c r="BD81" s="1008"/>
      <c r="BE81" s="1008"/>
      <c r="BF81" s="1008"/>
      <c r="BG81" s="1008"/>
      <c r="BH81" s="1008"/>
      <c r="BI81" s="1008"/>
      <c r="BJ81" s="1008"/>
      <c r="BK81" s="1008"/>
      <c r="BL81" s="1008"/>
      <c r="BM81" s="1008"/>
      <c r="BN81" s="1008"/>
      <c r="BO81" s="1008"/>
      <c r="BP81" s="1008"/>
      <c r="BQ81" s="1011">
        <f t="shared" si="25"/>
        <v>0</v>
      </c>
      <c r="BR81" s="1008">
        <f t="shared" si="75"/>
        <v>0</v>
      </c>
      <c r="BS81" s="1008">
        <f t="shared" si="76"/>
        <v>0</v>
      </c>
      <c r="BT81" s="1008">
        <f t="shared" si="77"/>
        <v>0</v>
      </c>
      <c r="BU81" s="1008"/>
      <c r="BV81" s="1008">
        <f t="shared" si="78"/>
        <v>0</v>
      </c>
      <c r="BW81" s="1008"/>
      <c r="BX81" s="1008">
        <f t="shared" si="79"/>
        <v>0</v>
      </c>
      <c r="BY81" s="1008">
        <f t="shared" si="79"/>
        <v>0</v>
      </c>
      <c r="BZ81" s="1008"/>
      <c r="CA81" s="1008">
        <f t="shared" ref="CA81:CB103" si="92">+AH81-BE81</f>
        <v>0</v>
      </c>
      <c r="CB81" s="1008">
        <f t="shared" si="80"/>
        <v>0</v>
      </c>
      <c r="CC81" s="1008">
        <f>+AJ81-BG81</f>
        <v>0</v>
      </c>
      <c r="CD81" s="1008">
        <f t="shared" si="80"/>
        <v>0</v>
      </c>
      <c r="CE81" s="1008">
        <f t="shared" si="80"/>
        <v>0</v>
      </c>
      <c r="CF81" s="1008">
        <f t="shared" si="80"/>
        <v>0</v>
      </c>
      <c r="CG81" s="1008">
        <f t="shared" si="80"/>
        <v>0</v>
      </c>
      <c r="CH81" s="1008">
        <f t="shared" si="80"/>
        <v>0</v>
      </c>
      <c r="CI81" s="1008">
        <f t="shared" si="80"/>
        <v>0</v>
      </c>
      <c r="CJ81" s="1008">
        <f>+AQ81-BN81</f>
        <v>0</v>
      </c>
      <c r="CK81" s="1008"/>
      <c r="CL81" s="1008">
        <f t="shared" si="81"/>
        <v>0</v>
      </c>
      <c r="CM81" s="1011">
        <f t="shared" si="82"/>
        <v>0.76589779714285711</v>
      </c>
      <c r="CN81" s="1008">
        <f t="shared" si="83"/>
        <v>268064229</v>
      </c>
      <c r="CO81" s="1008"/>
      <c r="CP81" s="1008"/>
      <c r="CQ81" s="1008"/>
      <c r="CR81" s="1008"/>
      <c r="CS81" s="1008"/>
      <c r="CT81" s="1008"/>
      <c r="CU81" s="1008">
        <f>+'[18]OCTUBRE 2015'!$H$3679</f>
        <v>268064229</v>
      </c>
      <c r="CV81" s="1008"/>
      <c r="CW81" s="1008"/>
      <c r="CX81" s="1008"/>
      <c r="CY81" s="1008"/>
      <c r="CZ81" s="1008"/>
      <c r="DA81" s="1008"/>
      <c r="DB81" s="1008"/>
      <c r="DC81" s="1008"/>
      <c r="DD81" s="1008"/>
      <c r="DE81" s="1008"/>
      <c r="DF81" s="1008"/>
      <c r="DG81" s="1008"/>
      <c r="DH81" s="1008"/>
      <c r="DI81" s="1011">
        <f t="shared" si="84"/>
        <v>0.23410220285714289</v>
      </c>
      <c r="DJ81" s="1008">
        <f t="shared" si="85"/>
        <v>81935771</v>
      </c>
      <c r="DK81" s="1008"/>
      <c r="DL81" s="1008"/>
      <c r="DM81" s="1008"/>
      <c r="DN81" s="1008">
        <f t="shared" si="86"/>
        <v>0</v>
      </c>
      <c r="DO81" s="1008"/>
      <c r="DP81" s="1008">
        <f t="shared" si="87"/>
        <v>0</v>
      </c>
      <c r="DQ81" s="1008">
        <f t="shared" si="87"/>
        <v>81935771</v>
      </c>
      <c r="DR81" s="1008"/>
      <c r="DS81" s="1008">
        <f t="shared" si="88"/>
        <v>0</v>
      </c>
      <c r="DT81" s="1008">
        <f t="shared" si="88"/>
        <v>0</v>
      </c>
      <c r="DU81" s="1008"/>
      <c r="DV81" s="1008">
        <f t="shared" si="89"/>
        <v>0</v>
      </c>
      <c r="DW81" s="1008">
        <f t="shared" si="89"/>
        <v>0</v>
      </c>
      <c r="DX81" s="1008">
        <f t="shared" si="89"/>
        <v>0</v>
      </c>
      <c r="DY81" s="1008">
        <f t="shared" si="90"/>
        <v>0</v>
      </c>
      <c r="DZ81" s="1008">
        <f t="shared" si="90"/>
        <v>0</v>
      </c>
      <c r="EA81" s="1008">
        <f t="shared" si="90"/>
        <v>0</v>
      </c>
      <c r="EB81" s="1008">
        <f t="shared" si="90"/>
        <v>0</v>
      </c>
      <c r="EC81" s="1008"/>
      <c r="ED81" s="1008">
        <f t="shared" si="91"/>
        <v>0</v>
      </c>
    </row>
    <row r="82" spans="1:134" ht="49.5" hidden="1" customHeight="1" x14ac:dyDescent="0.25">
      <c r="A82" s="1565"/>
      <c r="B82" s="1019"/>
      <c r="C82" s="1116" t="s">
        <v>4419</v>
      </c>
      <c r="D82" s="1019" t="s">
        <v>4354</v>
      </c>
      <c r="E82" s="1020">
        <v>520</v>
      </c>
      <c r="F82" s="1120" t="s">
        <v>4670</v>
      </c>
      <c r="G82" s="1400"/>
      <c r="H82" s="1061">
        <f t="shared" si="70"/>
        <v>5875427</v>
      </c>
      <c r="I82" s="1061">
        <f t="shared" si="71"/>
        <v>4524074</v>
      </c>
      <c r="J82" s="1270"/>
      <c r="K82" s="1305"/>
      <c r="L82" s="1284"/>
      <c r="M82" s="1115">
        <v>6</v>
      </c>
      <c r="N82" s="1115">
        <v>5</v>
      </c>
      <c r="O82" s="1115">
        <v>0</v>
      </c>
      <c r="P82" s="1115">
        <v>61</v>
      </c>
      <c r="Q82" s="1115">
        <v>35</v>
      </c>
      <c r="R82" s="1115">
        <v>21</v>
      </c>
      <c r="S82" s="1120"/>
      <c r="T82" s="1120"/>
      <c r="U82" s="1120"/>
      <c r="V82" s="1120"/>
      <c r="W82" s="1120"/>
      <c r="X82" s="1120"/>
      <c r="Y82" s="1008">
        <f t="shared" si="72"/>
        <v>10399501</v>
      </c>
      <c r="Z82" s="944"/>
      <c r="AA82" s="944"/>
      <c r="AB82" s="944"/>
      <c r="AC82" s="944"/>
      <c r="AD82" s="944"/>
      <c r="AE82" s="944"/>
      <c r="AF82" s="1008"/>
      <c r="AG82" s="1008"/>
      <c r="AH82" s="1008"/>
      <c r="AI82" s="1008"/>
      <c r="AJ82" s="1008"/>
      <c r="AK82" s="1008"/>
      <c r="AL82" s="1008"/>
      <c r="AM82" s="1008"/>
      <c r="AN82" s="1008"/>
      <c r="AO82" s="1008"/>
      <c r="AP82" s="1008"/>
      <c r="AQ82" s="1008"/>
      <c r="AR82" s="1008"/>
      <c r="AS82" s="1008">
        <f>4000000+2500000+3899501</f>
        <v>10399501</v>
      </c>
      <c r="AT82" s="203"/>
      <c r="AU82" s="1011">
        <f t="shared" si="73"/>
        <v>1</v>
      </c>
      <c r="AV82" s="1008">
        <f t="shared" si="74"/>
        <v>10399501</v>
      </c>
      <c r="AW82" s="1008"/>
      <c r="AX82" s="1008"/>
      <c r="AY82" s="1008"/>
      <c r="AZ82" s="1008"/>
      <c r="BA82" s="1008"/>
      <c r="BB82" s="1008"/>
      <c r="BC82" s="1008"/>
      <c r="BD82" s="1008"/>
      <c r="BE82" s="1008"/>
      <c r="BF82" s="1008"/>
      <c r="BG82" s="1008"/>
      <c r="BH82" s="1008"/>
      <c r="BI82" s="1008"/>
      <c r="BJ82" s="1008"/>
      <c r="BK82" s="1008"/>
      <c r="BL82" s="1008"/>
      <c r="BM82" s="1008"/>
      <c r="BN82" s="1008"/>
      <c r="BO82" s="1008"/>
      <c r="BP82" s="1008">
        <f>+'[17]SEPTIEMBRE 2015'!$AD$3327</f>
        <v>10399501</v>
      </c>
      <c r="BQ82" s="1011">
        <f t="shared" si="25"/>
        <v>0</v>
      </c>
      <c r="BR82" s="1008">
        <f t="shared" si="75"/>
        <v>0</v>
      </c>
      <c r="BS82" s="1008">
        <f t="shared" si="76"/>
        <v>0</v>
      </c>
      <c r="BT82" s="1008">
        <f t="shared" si="77"/>
        <v>0</v>
      </c>
      <c r="BU82" s="1008"/>
      <c r="BV82" s="1008">
        <f t="shared" si="78"/>
        <v>0</v>
      </c>
      <c r="BW82" s="1008"/>
      <c r="BX82" s="1008">
        <f t="shared" si="79"/>
        <v>0</v>
      </c>
      <c r="BY82" s="1008">
        <f t="shared" si="79"/>
        <v>0</v>
      </c>
      <c r="BZ82" s="1008"/>
      <c r="CA82" s="1008">
        <f t="shared" si="92"/>
        <v>0</v>
      </c>
      <c r="CB82" s="1008">
        <f t="shared" si="80"/>
        <v>0</v>
      </c>
      <c r="CC82" s="1008">
        <f>+AJ82-BG82</f>
        <v>0</v>
      </c>
      <c r="CD82" s="1008">
        <f t="shared" si="80"/>
        <v>0</v>
      </c>
      <c r="CE82" s="1008">
        <f t="shared" si="80"/>
        <v>0</v>
      </c>
      <c r="CF82" s="1008">
        <f t="shared" si="80"/>
        <v>0</v>
      </c>
      <c r="CG82" s="1008">
        <f t="shared" si="80"/>
        <v>0</v>
      </c>
      <c r="CH82" s="1008">
        <f t="shared" si="80"/>
        <v>0</v>
      </c>
      <c r="CI82" s="1008">
        <f t="shared" si="80"/>
        <v>0</v>
      </c>
      <c r="CJ82" s="1008"/>
      <c r="CK82" s="1008"/>
      <c r="CL82" s="1008">
        <f t="shared" si="81"/>
        <v>0</v>
      </c>
      <c r="CM82" s="1011">
        <f t="shared" si="82"/>
        <v>0.56497201163786603</v>
      </c>
      <c r="CN82" s="1008">
        <f t="shared" si="83"/>
        <v>5875427</v>
      </c>
      <c r="CO82" s="1008"/>
      <c r="CP82" s="1008"/>
      <c r="CQ82" s="1008"/>
      <c r="CR82" s="1008"/>
      <c r="CS82" s="1008"/>
      <c r="CT82" s="1008"/>
      <c r="CU82" s="1008"/>
      <c r="CV82" s="1008"/>
      <c r="CW82" s="1008"/>
      <c r="CX82" s="1008"/>
      <c r="CY82" s="1008"/>
      <c r="CZ82" s="1008"/>
      <c r="DA82" s="1008"/>
      <c r="DB82" s="1008"/>
      <c r="DC82" s="1008"/>
      <c r="DD82" s="1008"/>
      <c r="DE82" s="1008"/>
      <c r="DF82" s="1008"/>
      <c r="DG82" s="1008"/>
      <c r="DH82" s="1008">
        <f>+'[18]OCTUBRE 2015'!$H$3812</f>
        <v>5875427</v>
      </c>
      <c r="DI82" s="1011">
        <f t="shared" si="84"/>
        <v>0.43502798836213397</v>
      </c>
      <c r="DJ82" s="1008">
        <f t="shared" si="85"/>
        <v>4524074</v>
      </c>
      <c r="DK82" s="1008"/>
      <c r="DL82" s="1008"/>
      <c r="DM82" s="1008"/>
      <c r="DN82" s="1008">
        <f t="shared" si="86"/>
        <v>0</v>
      </c>
      <c r="DO82" s="1008"/>
      <c r="DP82" s="1008">
        <f t="shared" si="87"/>
        <v>0</v>
      </c>
      <c r="DQ82" s="1008">
        <f t="shared" si="87"/>
        <v>0</v>
      </c>
      <c r="DR82" s="1008"/>
      <c r="DS82" s="1008">
        <f t="shared" si="88"/>
        <v>0</v>
      </c>
      <c r="DT82" s="1008">
        <f t="shared" si="88"/>
        <v>0</v>
      </c>
      <c r="DU82" s="1008"/>
      <c r="DV82" s="1008">
        <f t="shared" si="89"/>
        <v>0</v>
      </c>
      <c r="DW82" s="1008">
        <f t="shared" si="89"/>
        <v>0</v>
      </c>
      <c r="DX82" s="1008">
        <f t="shared" si="89"/>
        <v>0</v>
      </c>
      <c r="DY82" s="1008">
        <f t="shared" si="90"/>
        <v>0</v>
      </c>
      <c r="DZ82" s="1008">
        <f t="shared" si="90"/>
        <v>0</v>
      </c>
      <c r="EA82" s="1008">
        <f t="shared" si="90"/>
        <v>0</v>
      </c>
      <c r="EB82" s="1008">
        <f t="shared" si="90"/>
        <v>0</v>
      </c>
      <c r="EC82" s="1008"/>
      <c r="ED82" s="1008">
        <f t="shared" si="91"/>
        <v>4524074</v>
      </c>
    </row>
    <row r="83" spans="1:134" ht="36" hidden="1" customHeight="1" x14ac:dyDescent="0.25">
      <c r="A83" s="1565"/>
      <c r="B83" s="1027"/>
      <c r="C83" s="1116" t="s">
        <v>4420</v>
      </c>
      <c r="D83" s="1019" t="s">
        <v>4616</v>
      </c>
      <c r="E83" s="1134">
        <v>520</v>
      </c>
      <c r="F83" s="1120" t="s">
        <v>3350</v>
      </c>
      <c r="G83" s="1400"/>
      <c r="H83" s="1061">
        <f t="shared" si="70"/>
        <v>47812859</v>
      </c>
      <c r="I83" s="1061">
        <f t="shared" si="71"/>
        <v>52187141</v>
      </c>
      <c r="J83" s="1270" t="s">
        <v>4848</v>
      </c>
      <c r="K83" s="1305" t="s">
        <v>4874</v>
      </c>
      <c r="L83" s="1283" t="s">
        <v>4880</v>
      </c>
      <c r="M83" s="1115">
        <v>7</v>
      </c>
      <c r="N83" s="1115">
        <v>31</v>
      </c>
      <c r="O83" s="1115">
        <v>2</v>
      </c>
      <c r="P83" s="1115">
        <v>22</v>
      </c>
      <c r="Q83" s="1115">
        <v>31</v>
      </c>
      <c r="R83" s="1115">
        <v>7</v>
      </c>
      <c r="S83" s="1120"/>
      <c r="T83" s="1120"/>
      <c r="U83" s="1120"/>
      <c r="V83" s="1120"/>
      <c r="W83" s="1120"/>
      <c r="X83" s="1120"/>
      <c r="Y83" s="1008">
        <f t="shared" si="72"/>
        <v>100000000</v>
      </c>
      <c r="Z83" s="991"/>
      <c r="AA83" s="1017">
        <f>100000000-100000000</f>
        <v>0</v>
      </c>
      <c r="AB83" s="1017"/>
      <c r="AC83" s="991"/>
      <c r="AD83" s="991"/>
      <c r="AE83" s="991"/>
      <c r="AF83" s="1008">
        <v>100000000</v>
      </c>
      <c r="AG83" s="1008"/>
      <c r="AH83" s="1008"/>
      <c r="AI83" s="1008"/>
      <c r="AJ83" s="1008"/>
      <c r="AK83" s="1008"/>
      <c r="AL83" s="1008"/>
      <c r="AM83" s="1008"/>
      <c r="AN83" s="1008"/>
      <c r="AO83" s="1008"/>
      <c r="AP83" s="1008"/>
      <c r="AQ83" s="1008"/>
      <c r="AR83" s="1008"/>
      <c r="AS83" s="1008"/>
      <c r="AT83" s="203"/>
      <c r="AU83" s="1011">
        <f t="shared" si="73"/>
        <v>0.7</v>
      </c>
      <c r="AV83" s="1008">
        <f t="shared" si="74"/>
        <v>70000000</v>
      </c>
      <c r="AW83" s="1008"/>
      <c r="AX83" s="1008"/>
      <c r="AY83" s="1008"/>
      <c r="AZ83" s="1008"/>
      <c r="BA83" s="1008"/>
      <c r="BB83" s="1008"/>
      <c r="BC83" s="1008">
        <f>+'[18]OCTUBRE 2015'!$P$3837</f>
        <v>70000000</v>
      </c>
      <c r="BD83" s="1008"/>
      <c r="BE83" s="1008"/>
      <c r="BF83" s="1008"/>
      <c r="BG83" s="1008"/>
      <c r="BH83" s="1008"/>
      <c r="BI83" s="1008"/>
      <c r="BJ83" s="1008"/>
      <c r="BK83" s="1008"/>
      <c r="BL83" s="1008"/>
      <c r="BM83" s="1008"/>
      <c r="BN83" s="1008"/>
      <c r="BO83" s="1008"/>
      <c r="BP83" s="1008"/>
      <c r="BQ83" s="1011">
        <f t="shared" si="25"/>
        <v>0.30000000000000004</v>
      </c>
      <c r="BR83" s="1008">
        <f t="shared" si="75"/>
        <v>30000000</v>
      </c>
      <c r="BS83" s="1008">
        <f t="shared" si="76"/>
        <v>0</v>
      </c>
      <c r="BT83" s="1008">
        <f t="shared" si="77"/>
        <v>0</v>
      </c>
      <c r="BU83" s="1008"/>
      <c r="BV83" s="1008">
        <f t="shared" si="78"/>
        <v>0</v>
      </c>
      <c r="BW83" s="1008"/>
      <c r="BX83" s="1008">
        <f t="shared" si="79"/>
        <v>0</v>
      </c>
      <c r="BY83" s="1008">
        <f t="shared" si="79"/>
        <v>30000000</v>
      </c>
      <c r="BZ83" s="1008"/>
      <c r="CA83" s="1008">
        <f t="shared" si="92"/>
        <v>0</v>
      </c>
      <c r="CB83" s="1008">
        <f t="shared" si="80"/>
        <v>0</v>
      </c>
      <c r="CC83" s="1008">
        <f>+AJ83-BG83</f>
        <v>0</v>
      </c>
      <c r="CD83" s="1008">
        <f t="shared" si="80"/>
        <v>0</v>
      </c>
      <c r="CE83" s="1008">
        <f t="shared" si="80"/>
        <v>0</v>
      </c>
      <c r="CF83" s="1008">
        <f t="shared" si="80"/>
        <v>0</v>
      </c>
      <c r="CG83" s="1008">
        <f t="shared" si="80"/>
        <v>0</v>
      </c>
      <c r="CH83" s="1008">
        <f t="shared" si="80"/>
        <v>0</v>
      </c>
      <c r="CI83" s="1008">
        <f t="shared" si="80"/>
        <v>0</v>
      </c>
      <c r="CJ83" s="1008"/>
      <c r="CK83" s="1008"/>
      <c r="CL83" s="1008">
        <f t="shared" si="81"/>
        <v>0</v>
      </c>
      <c r="CM83" s="1011">
        <f t="shared" si="82"/>
        <v>0.47812859000000002</v>
      </c>
      <c r="CN83" s="1008">
        <f t="shared" si="83"/>
        <v>47812859</v>
      </c>
      <c r="CO83" s="1008"/>
      <c r="CP83" s="1008"/>
      <c r="CQ83" s="1008"/>
      <c r="CR83" s="1008"/>
      <c r="CS83" s="1008"/>
      <c r="CT83" s="1008"/>
      <c r="CU83" s="1008">
        <f>+'[18]OCTUBRE 2015'!$H$3835</f>
        <v>47812859</v>
      </c>
      <c r="CV83" s="1008"/>
      <c r="CW83" s="1008"/>
      <c r="CX83" s="1008"/>
      <c r="CY83" s="1008"/>
      <c r="CZ83" s="1008"/>
      <c r="DA83" s="1008"/>
      <c r="DB83" s="1008"/>
      <c r="DC83" s="1008"/>
      <c r="DD83" s="1008"/>
      <c r="DE83" s="1008"/>
      <c r="DF83" s="1008"/>
      <c r="DG83" s="1008"/>
      <c r="DH83" s="1008"/>
      <c r="DI83" s="1011">
        <f t="shared" si="84"/>
        <v>0.52187140999999992</v>
      </c>
      <c r="DJ83" s="1008">
        <f t="shared" si="85"/>
        <v>52187141</v>
      </c>
      <c r="DK83" s="1008"/>
      <c r="DL83" s="1008">
        <f>AA83-CP83</f>
        <v>0</v>
      </c>
      <c r="DM83" s="1008">
        <f>AB83-CQ83</f>
        <v>0</v>
      </c>
      <c r="DN83" s="1008">
        <f t="shared" si="86"/>
        <v>0</v>
      </c>
      <c r="DO83" s="1008"/>
      <c r="DP83" s="1008">
        <f t="shared" si="87"/>
        <v>0</v>
      </c>
      <c r="DQ83" s="1008">
        <f t="shared" si="87"/>
        <v>52187141</v>
      </c>
      <c r="DR83" s="1008"/>
      <c r="DS83" s="1008">
        <f t="shared" si="88"/>
        <v>0</v>
      </c>
      <c r="DT83" s="1008">
        <f t="shared" si="88"/>
        <v>0</v>
      </c>
      <c r="DU83" s="1008"/>
      <c r="DV83" s="1008">
        <f t="shared" si="89"/>
        <v>0</v>
      </c>
      <c r="DW83" s="1008">
        <f t="shared" si="89"/>
        <v>0</v>
      </c>
      <c r="DX83" s="1008">
        <f t="shared" si="89"/>
        <v>0</v>
      </c>
      <c r="DY83" s="1008">
        <f t="shared" si="90"/>
        <v>0</v>
      </c>
      <c r="DZ83" s="1008">
        <f t="shared" si="90"/>
        <v>0</v>
      </c>
      <c r="EA83" s="1008">
        <f t="shared" si="90"/>
        <v>0</v>
      </c>
      <c r="EB83" s="1008">
        <f t="shared" si="90"/>
        <v>0</v>
      </c>
      <c r="EC83" s="1008"/>
      <c r="ED83" s="1008">
        <f t="shared" si="91"/>
        <v>0</v>
      </c>
    </row>
    <row r="84" spans="1:134" ht="33" hidden="1" customHeight="1" x14ac:dyDescent="0.25">
      <c r="A84" s="1565"/>
      <c r="B84" s="1019"/>
      <c r="C84" s="1116" t="s">
        <v>4421</v>
      </c>
      <c r="D84" s="1019" t="s">
        <v>4617</v>
      </c>
      <c r="E84" s="1020">
        <v>520</v>
      </c>
      <c r="F84" s="1120" t="s">
        <v>3350</v>
      </c>
      <c r="G84" s="1400"/>
      <c r="H84" s="1061">
        <f t="shared" si="70"/>
        <v>95938962</v>
      </c>
      <c r="I84" s="1061">
        <f t="shared" si="71"/>
        <v>34061038</v>
      </c>
      <c r="J84" s="1270"/>
      <c r="K84" s="1305"/>
      <c r="L84" s="1284"/>
      <c r="M84" s="1115">
        <v>7</v>
      </c>
      <c r="N84" s="1115">
        <v>11</v>
      </c>
      <c r="O84" s="1115">
        <v>1</v>
      </c>
      <c r="P84" s="1115">
        <v>38</v>
      </c>
      <c r="Q84" s="1115">
        <v>116</v>
      </c>
      <c r="R84" s="1115">
        <v>44</v>
      </c>
      <c r="S84" s="1120"/>
      <c r="T84" s="1120"/>
      <c r="U84" s="1120"/>
      <c r="V84" s="1120"/>
      <c r="W84" s="1120"/>
      <c r="X84" s="1120"/>
      <c r="Y84" s="1008">
        <f t="shared" si="72"/>
        <v>130000000</v>
      </c>
      <c r="Z84" s="944"/>
      <c r="AA84" s="1017">
        <f>200000000-200000000</f>
        <v>0</v>
      </c>
      <c r="AB84" s="1017"/>
      <c r="AC84" s="944"/>
      <c r="AD84" s="944"/>
      <c r="AE84" s="944"/>
      <c r="AF84" s="1008">
        <f>200000000-60000000-10000000</f>
        <v>130000000</v>
      </c>
      <c r="AG84" s="1008"/>
      <c r="AH84" s="1008"/>
      <c r="AI84" s="1008"/>
      <c r="AJ84" s="1008"/>
      <c r="AK84" s="1008"/>
      <c r="AL84" s="1008"/>
      <c r="AM84" s="1008"/>
      <c r="AN84" s="1008"/>
      <c r="AO84" s="1008"/>
      <c r="AP84" s="1008"/>
      <c r="AQ84" s="1008"/>
      <c r="AR84" s="1008"/>
      <c r="AS84" s="1008"/>
      <c r="AT84" s="203"/>
      <c r="AU84" s="1011">
        <f t="shared" si="73"/>
        <v>0.84615384615384615</v>
      </c>
      <c r="AV84" s="1008">
        <f t="shared" si="74"/>
        <v>110000000</v>
      </c>
      <c r="AW84" s="1008"/>
      <c r="AX84" s="1008"/>
      <c r="AY84" s="1008"/>
      <c r="AZ84" s="1008"/>
      <c r="BA84" s="1008"/>
      <c r="BB84" s="1008"/>
      <c r="BC84" s="1008">
        <f>+'[18]OCTUBRE 2015'!$P$3902</f>
        <v>110000000</v>
      </c>
      <c r="BD84" s="1008"/>
      <c r="BE84" s="1008"/>
      <c r="BF84" s="1008"/>
      <c r="BG84" s="1008"/>
      <c r="BH84" s="1008"/>
      <c r="BI84" s="1008"/>
      <c r="BJ84" s="1008"/>
      <c r="BK84" s="1008"/>
      <c r="BL84" s="1008"/>
      <c r="BM84" s="1008"/>
      <c r="BN84" s="1008"/>
      <c r="BO84" s="1008"/>
      <c r="BP84" s="1008"/>
      <c r="BQ84" s="1011">
        <f t="shared" si="25"/>
        <v>0.15384615384615385</v>
      </c>
      <c r="BR84" s="1008">
        <f t="shared" si="75"/>
        <v>20000000</v>
      </c>
      <c r="BS84" s="1008">
        <f t="shared" si="76"/>
        <v>0</v>
      </c>
      <c r="BT84" s="1008">
        <f t="shared" si="77"/>
        <v>0</v>
      </c>
      <c r="BU84" s="1008"/>
      <c r="BV84" s="1008">
        <f t="shared" si="78"/>
        <v>0</v>
      </c>
      <c r="BW84" s="1008"/>
      <c r="BX84" s="1008">
        <f t="shared" si="79"/>
        <v>0</v>
      </c>
      <c r="BY84" s="1008">
        <f t="shared" si="79"/>
        <v>20000000</v>
      </c>
      <c r="BZ84" s="1008"/>
      <c r="CA84" s="1008">
        <f t="shared" si="92"/>
        <v>0</v>
      </c>
      <c r="CB84" s="1008">
        <f t="shared" si="92"/>
        <v>0</v>
      </c>
      <c r="CC84" s="1008">
        <f>+AJ84-BG84</f>
        <v>0</v>
      </c>
      <c r="CD84" s="1008">
        <f t="shared" ref="CD84:CI103" si="93">+AK84-BH84</f>
        <v>0</v>
      </c>
      <c r="CE84" s="1008">
        <f t="shared" si="93"/>
        <v>0</v>
      </c>
      <c r="CF84" s="1008">
        <f t="shared" si="93"/>
        <v>0</v>
      </c>
      <c r="CG84" s="1008">
        <f t="shared" si="93"/>
        <v>0</v>
      </c>
      <c r="CH84" s="1008">
        <f t="shared" si="93"/>
        <v>0</v>
      </c>
      <c r="CI84" s="1008">
        <f t="shared" si="93"/>
        <v>0</v>
      </c>
      <c r="CJ84" s="1008"/>
      <c r="CK84" s="1008"/>
      <c r="CL84" s="1008">
        <f t="shared" si="81"/>
        <v>0</v>
      </c>
      <c r="CM84" s="1011">
        <f t="shared" si="82"/>
        <v>0.73799201538461534</v>
      </c>
      <c r="CN84" s="1008">
        <f t="shared" si="83"/>
        <v>95938962</v>
      </c>
      <c r="CO84" s="1008"/>
      <c r="CP84" s="1008"/>
      <c r="CQ84" s="1008"/>
      <c r="CR84" s="1008"/>
      <c r="CS84" s="1008"/>
      <c r="CT84" s="1008"/>
      <c r="CU84" s="1008">
        <f>+'[18]OCTUBRE 2015'!$H$3900</f>
        <v>95938962</v>
      </c>
      <c r="CV84" s="1008"/>
      <c r="CW84" s="1008"/>
      <c r="CX84" s="1008"/>
      <c r="CY84" s="1008"/>
      <c r="CZ84" s="1008"/>
      <c r="DA84" s="1008"/>
      <c r="DB84" s="1008"/>
      <c r="DC84" s="1008"/>
      <c r="DD84" s="1008"/>
      <c r="DE84" s="1008"/>
      <c r="DF84" s="1008"/>
      <c r="DG84" s="1008"/>
      <c r="DH84" s="1008"/>
      <c r="DI84" s="1011">
        <f t="shared" si="84"/>
        <v>0.26200798461538466</v>
      </c>
      <c r="DJ84" s="1008">
        <f t="shared" si="85"/>
        <v>34061038</v>
      </c>
      <c r="DK84" s="1008"/>
      <c r="DL84" s="1008">
        <f>AA84-CP84</f>
        <v>0</v>
      </c>
      <c r="DM84" s="1008">
        <f>AB84-CQ84</f>
        <v>0</v>
      </c>
      <c r="DN84" s="1008">
        <f t="shared" si="86"/>
        <v>0</v>
      </c>
      <c r="DO84" s="1008"/>
      <c r="DP84" s="1008">
        <f t="shared" si="87"/>
        <v>0</v>
      </c>
      <c r="DQ84" s="1008">
        <f t="shared" si="87"/>
        <v>34061038</v>
      </c>
      <c r="DR84" s="1008"/>
      <c r="DS84" s="1008">
        <f t="shared" si="88"/>
        <v>0</v>
      </c>
      <c r="DT84" s="1008">
        <f t="shared" si="88"/>
        <v>0</v>
      </c>
      <c r="DU84" s="1008"/>
      <c r="DV84" s="1008">
        <f t="shared" si="89"/>
        <v>0</v>
      </c>
      <c r="DW84" s="1008">
        <f t="shared" si="89"/>
        <v>0</v>
      </c>
      <c r="DX84" s="1008">
        <f t="shared" si="89"/>
        <v>0</v>
      </c>
      <c r="DY84" s="1008">
        <f t="shared" si="90"/>
        <v>0</v>
      </c>
      <c r="DZ84" s="1008">
        <f t="shared" si="90"/>
        <v>0</v>
      </c>
      <c r="EA84" s="1008">
        <f t="shared" si="90"/>
        <v>0</v>
      </c>
      <c r="EB84" s="1008">
        <f t="shared" si="90"/>
        <v>0</v>
      </c>
      <c r="EC84" s="1008"/>
      <c r="ED84" s="1008">
        <f t="shared" si="91"/>
        <v>0</v>
      </c>
    </row>
    <row r="85" spans="1:134" ht="57.75" hidden="1" customHeight="1" x14ac:dyDescent="0.25">
      <c r="A85" s="1565"/>
      <c r="B85" s="1027"/>
      <c r="C85" s="1116" t="s">
        <v>4422</v>
      </c>
      <c r="D85" s="1019" t="s">
        <v>4356</v>
      </c>
      <c r="E85" s="1134">
        <v>520</v>
      </c>
      <c r="F85" s="1120" t="s">
        <v>4674</v>
      </c>
      <c r="G85" s="1400"/>
      <c r="H85" s="1061">
        <f t="shared" si="70"/>
        <v>425865362</v>
      </c>
      <c r="I85" s="1061">
        <f t="shared" si="71"/>
        <v>21128471</v>
      </c>
      <c r="J85" s="1399" t="s">
        <v>4868</v>
      </c>
      <c r="K85" s="1283" t="s">
        <v>4875</v>
      </c>
      <c r="L85" s="1283" t="s">
        <v>4881</v>
      </c>
      <c r="M85" s="1115">
        <v>78</v>
      </c>
      <c r="N85" s="1115">
        <v>45</v>
      </c>
      <c r="O85" s="1115">
        <v>35</v>
      </c>
      <c r="P85" s="1115">
        <v>50</v>
      </c>
      <c r="Q85" s="1115">
        <v>60</v>
      </c>
      <c r="R85" s="1115">
        <v>30</v>
      </c>
      <c r="S85" s="1120"/>
      <c r="T85" s="1120"/>
      <c r="U85" s="1120"/>
      <c r="V85" s="1120"/>
      <c r="W85" s="1120"/>
      <c r="X85" s="1120"/>
      <c r="Y85" s="1008">
        <f t="shared" si="72"/>
        <v>446993833</v>
      </c>
      <c r="Z85" s="991"/>
      <c r="AA85" s="991"/>
      <c r="AB85" s="991"/>
      <c r="AC85" s="991"/>
      <c r="AD85" s="991"/>
      <c r="AE85" s="991"/>
      <c r="AF85" s="1008"/>
      <c r="AG85" s="1008"/>
      <c r="AH85" s="1008"/>
      <c r="AI85" s="1008"/>
      <c r="AJ85" s="1008"/>
      <c r="AK85" s="1008"/>
      <c r="AL85" s="1008"/>
      <c r="AM85" s="1008"/>
      <c r="AN85" s="1008"/>
      <c r="AO85" s="1008"/>
      <c r="AP85" s="1008"/>
      <c r="AQ85" s="1008"/>
      <c r="AR85" s="1008"/>
      <c r="AS85" s="1008">
        <f>111000000+41000000+32000000+9000000+19000000+17271328+15000000+191272505+6000000+5450000</f>
        <v>446993833</v>
      </c>
      <c r="AT85" s="203"/>
      <c r="AU85" s="1011">
        <f t="shared" si="73"/>
        <v>1</v>
      </c>
      <c r="AV85" s="1008">
        <f t="shared" si="74"/>
        <v>446993833</v>
      </c>
      <c r="AW85" s="1008"/>
      <c r="AX85" s="1008"/>
      <c r="AY85" s="1008"/>
      <c r="AZ85" s="1008"/>
      <c r="BA85" s="1008"/>
      <c r="BB85" s="1008"/>
      <c r="BC85" s="1008"/>
      <c r="BD85" s="1008"/>
      <c r="BE85" s="1008"/>
      <c r="BF85" s="1008"/>
      <c r="BG85" s="1008"/>
      <c r="BH85" s="1008"/>
      <c r="BI85" s="1008"/>
      <c r="BJ85" s="1008"/>
      <c r="BK85" s="1008"/>
      <c r="BL85" s="1008"/>
      <c r="BM85" s="1008"/>
      <c r="BN85" s="1008"/>
      <c r="BO85" s="1008"/>
      <c r="BP85" s="1008">
        <f>+'[17]SEPTIEMBRE 2015'!$AD$3491</f>
        <v>446993833</v>
      </c>
      <c r="BQ85" s="1011">
        <f t="shared" si="25"/>
        <v>0</v>
      </c>
      <c r="BR85" s="1008">
        <f t="shared" si="75"/>
        <v>0</v>
      </c>
      <c r="BS85" s="1008">
        <f t="shared" si="76"/>
        <v>0</v>
      </c>
      <c r="BT85" s="1008">
        <f t="shared" si="77"/>
        <v>0</v>
      </c>
      <c r="BU85" s="1008"/>
      <c r="BV85" s="1008">
        <f t="shared" si="78"/>
        <v>0</v>
      </c>
      <c r="BW85" s="1008"/>
      <c r="BX85" s="1008">
        <f t="shared" si="79"/>
        <v>0</v>
      </c>
      <c r="BY85" s="1008">
        <f t="shared" si="79"/>
        <v>0</v>
      </c>
      <c r="BZ85" s="1008"/>
      <c r="CA85" s="1008">
        <f t="shared" si="92"/>
        <v>0</v>
      </c>
      <c r="CB85" s="1008">
        <f t="shared" si="92"/>
        <v>0</v>
      </c>
      <c r="CC85" s="1008"/>
      <c r="CD85" s="1008">
        <f t="shared" si="93"/>
        <v>0</v>
      </c>
      <c r="CE85" s="1008">
        <f t="shared" si="93"/>
        <v>0</v>
      </c>
      <c r="CF85" s="1008">
        <f t="shared" si="93"/>
        <v>0</v>
      </c>
      <c r="CG85" s="1008">
        <f t="shared" si="93"/>
        <v>0</v>
      </c>
      <c r="CH85" s="1008">
        <f t="shared" si="93"/>
        <v>0</v>
      </c>
      <c r="CI85" s="1008">
        <f t="shared" si="93"/>
        <v>0</v>
      </c>
      <c r="CJ85" s="1008"/>
      <c r="CK85" s="1008"/>
      <c r="CL85" s="1008">
        <f t="shared" si="81"/>
        <v>0</v>
      </c>
      <c r="CM85" s="1011">
        <f t="shared" si="82"/>
        <v>0.95273207494117707</v>
      </c>
      <c r="CN85" s="1008">
        <f t="shared" si="83"/>
        <v>425865362</v>
      </c>
      <c r="CO85" s="1008"/>
      <c r="CP85" s="1008"/>
      <c r="CQ85" s="1008"/>
      <c r="CR85" s="1008"/>
      <c r="CS85" s="1008"/>
      <c r="CT85" s="1008"/>
      <c r="CU85" s="1008"/>
      <c r="CV85" s="1008"/>
      <c r="CW85" s="1008"/>
      <c r="CX85" s="1008"/>
      <c r="CY85" s="1008"/>
      <c r="CZ85" s="1008"/>
      <c r="DA85" s="1008"/>
      <c r="DB85" s="1008"/>
      <c r="DC85" s="1008"/>
      <c r="DD85" s="1008"/>
      <c r="DE85" s="1008"/>
      <c r="DF85" s="1008"/>
      <c r="DG85" s="1008"/>
      <c r="DH85" s="1008">
        <f>+'[18]OCTUBRE 2015'!$H$3985</f>
        <v>425865362</v>
      </c>
      <c r="DI85" s="1011">
        <f t="shared" si="84"/>
        <v>4.7267925058822935E-2</v>
      </c>
      <c r="DJ85" s="1008">
        <f t="shared" si="85"/>
        <v>21128471</v>
      </c>
      <c r="DK85" s="1008"/>
      <c r="DL85" s="1008"/>
      <c r="DM85" s="1008"/>
      <c r="DN85" s="1008">
        <f t="shared" si="86"/>
        <v>0</v>
      </c>
      <c r="DO85" s="1008"/>
      <c r="DP85" s="1008">
        <f t="shared" si="87"/>
        <v>0</v>
      </c>
      <c r="DQ85" s="1008">
        <f t="shared" si="87"/>
        <v>0</v>
      </c>
      <c r="DR85" s="1008"/>
      <c r="DS85" s="1008">
        <f t="shared" si="88"/>
        <v>0</v>
      </c>
      <c r="DT85" s="1008">
        <f t="shared" si="88"/>
        <v>0</v>
      </c>
      <c r="DU85" s="1008"/>
      <c r="DV85" s="1008">
        <f t="shared" si="89"/>
        <v>0</v>
      </c>
      <c r="DW85" s="1008">
        <f t="shared" si="89"/>
        <v>0</v>
      </c>
      <c r="DX85" s="1008">
        <f t="shared" si="89"/>
        <v>0</v>
      </c>
      <c r="DY85" s="1008">
        <f t="shared" si="90"/>
        <v>0</v>
      </c>
      <c r="DZ85" s="1008">
        <f t="shared" si="90"/>
        <v>0</v>
      </c>
      <c r="EA85" s="1008">
        <f t="shared" si="90"/>
        <v>0</v>
      </c>
      <c r="EB85" s="1008">
        <f t="shared" si="90"/>
        <v>0</v>
      </c>
      <c r="EC85" s="1008"/>
      <c r="ED85" s="1008">
        <f t="shared" si="91"/>
        <v>21128471</v>
      </c>
    </row>
    <row r="86" spans="1:134" ht="46.5" hidden="1" customHeight="1" x14ac:dyDescent="0.25">
      <c r="A86" s="1565"/>
      <c r="B86" s="1019"/>
      <c r="C86" s="1116" t="s">
        <v>4423</v>
      </c>
      <c r="D86" s="1019" t="s">
        <v>4357</v>
      </c>
      <c r="E86" s="1020">
        <v>520</v>
      </c>
      <c r="F86" s="1120" t="s">
        <v>4737</v>
      </c>
      <c r="G86" s="1400"/>
      <c r="H86" s="1061">
        <f t="shared" si="70"/>
        <v>5904582</v>
      </c>
      <c r="I86" s="1061">
        <f t="shared" si="71"/>
        <v>18651115</v>
      </c>
      <c r="J86" s="1401"/>
      <c r="K86" s="1284"/>
      <c r="L86" s="1284"/>
      <c r="M86" s="1115">
        <v>0</v>
      </c>
      <c r="N86" s="1115">
        <v>0</v>
      </c>
      <c r="O86" s="1115">
        <v>0</v>
      </c>
      <c r="P86" s="1115">
        <v>6</v>
      </c>
      <c r="Q86" s="1115">
        <v>7</v>
      </c>
      <c r="R86" s="1115">
        <v>0</v>
      </c>
      <c r="S86" s="1120"/>
      <c r="T86" s="1120"/>
      <c r="U86" s="1120"/>
      <c r="V86" s="1120"/>
      <c r="W86" s="1120"/>
      <c r="X86" s="1120"/>
      <c r="Y86" s="1008">
        <f t="shared" si="72"/>
        <v>24555697</v>
      </c>
      <c r="Z86" s="944"/>
      <c r="AA86" s="944"/>
      <c r="AB86" s="944"/>
      <c r="AC86" s="944"/>
      <c r="AD86" s="944"/>
      <c r="AE86" s="944"/>
      <c r="AF86" s="1008"/>
      <c r="AG86" s="1008"/>
      <c r="AH86" s="1008"/>
      <c r="AI86" s="1008"/>
      <c r="AJ86" s="1008"/>
      <c r="AK86" s="1008"/>
      <c r="AL86" s="1008"/>
      <c r="AM86" s="1008"/>
      <c r="AN86" s="1008"/>
      <c r="AO86" s="1008"/>
      <c r="AP86" s="1008"/>
      <c r="AQ86" s="1008"/>
      <c r="AR86" s="1008"/>
      <c r="AS86" s="1008">
        <f>3000000+5000000+15055697+1500000</f>
        <v>24555697</v>
      </c>
      <c r="AT86" s="203"/>
      <c r="AU86" s="1011">
        <f t="shared" si="73"/>
        <v>0.37522510560380345</v>
      </c>
      <c r="AV86" s="1008">
        <f t="shared" si="74"/>
        <v>9213914</v>
      </c>
      <c r="AW86" s="1008"/>
      <c r="AX86" s="1008"/>
      <c r="AY86" s="1008"/>
      <c r="AZ86" s="1008"/>
      <c r="BA86" s="1008"/>
      <c r="BB86" s="1008"/>
      <c r="BC86" s="1008"/>
      <c r="BD86" s="1008"/>
      <c r="BE86" s="1008"/>
      <c r="BF86" s="1008"/>
      <c r="BG86" s="1008"/>
      <c r="BH86" s="1008"/>
      <c r="BI86" s="1008"/>
      <c r="BJ86" s="1008"/>
      <c r="BK86" s="1008"/>
      <c r="BL86" s="1008"/>
      <c r="BM86" s="1008"/>
      <c r="BN86" s="1008"/>
      <c r="BO86" s="1008"/>
      <c r="BP86" s="1008">
        <f>+'[18]OCTUBRE 2015'!$AD$4072</f>
        <v>9213914</v>
      </c>
      <c r="BQ86" s="1011">
        <f t="shared" si="25"/>
        <v>0.6247748943961966</v>
      </c>
      <c r="BR86" s="1008">
        <f t="shared" si="75"/>
        <v>15341783</v>
      </c>
      <c r="BS86" s="1008">
        <f t="shared" si="76"/>
        <v>0</v>
      </c>
      <c r="BT86" s="1008">
        <f t="shared" si="77"/>
        <v>0</v>
      </c>
      <c r="BU86" s="1008"/>
      <c r="BV86" s="1008">
        <f t="shared" si="78"/>
        <v>0</v>
      </c>
      <c r="BW86" s="1008"/>
      <c r="BX86" s="1008">
        <f t="shared" si="79"/>
        <v>0</v>
      </c>
      <c r="BY86" s="1008">
        <f t="shared" si="79"/>
        <v>0</v>
      </c>
      <c r="BZ86" s="1008"/>
      <c r="CA86" s="1008">
        <f t="shared" si="92"/>
        <v>0</v>
      </c>
      <c r="CB86" s="1008">
        <f t="shared" si="92"/>
        <v>0</v>
      </c>
      <c r="CC86" s="1008"/>
      <c r="CD86" s="1008">
        <f t="shared" si="93"/>
        <v>0</v>
      </c>
      <c r="CE86" s="1008">
        <f t="shared" si="93"/>
        <v>0</v>
      </c>
      <c r="CF86" s="1008">
        <f t="shared" si="93"/>
        <v>0</v>
      </c>
      <c r="CG86" s="1008">
        <f t="shared" si="93"/>
        <v>0</v>
      </c>
      <c r="CH86" s="1008">
        <f t="shared" si="93"/>
        <v>0</v>
      </c>
      <c r="CI86" s="1008">
        <f t="shared" si="93"/>
        <v>0</v>
      </c>
      <c r="CJ86" s="1008"/>
      <c r="CK86" s="1008"/>
      <c r="CL86" s="1008">
        <f t="shared" si="81"/>
        <v>15341783</v>
      </c>
      <c r="CM86" s="1011">
        <f t="shared" si="82"/>
        <v>0.24045670542359274</v>
      </c>
      <c r="CN86" s="1008">
        <f t="shared" si="83"/>
        <v>5904582</v>
      </c>
      <c r="CO86" s="1008"/>
      <c r="CP86" s="1008"/>
      <c r="CQ86" s="1008"/>
      <c r="CR86" s="1008"/>
      <c r="CS86" s="1008"/>
      <c r="CT86" s="1008"/>
      <c r="CU86" s="1008"/>
      <c r="CV86" s="1008"/>
      <c r="CW86" s="1008"/>
      <c r="CX86" s="1008"/>
      <c r="CY86" s="1008"/>
      <c r="CZ86" s="1008"/>
      <c r="DA86" s="1008"/>
      <c r="DB86" s="1008"/>
      <c r="DC86" s="1008"/>
      <c r="DD86" s="1008"/>
      <c r="DE86" s="1008"/>
      <c r="DF86" s="1008"/>
      <c r="DG86" s="1008"/>
      <c r="DH86" s="1008">
        <f>+'[18]OCTUBRE 2015'!$H$4070</f>
        <v>5904582</v>
      </c>
      <c r="DI86" s="1011">
        <f t="shared" si="84"/>
        <v>0.75954329457640724</v>
      </c>
      <c r="DJ86" s="1008">
        <f t="shared" si="85"/>
        <v>18651115</v>
      </c>
      <c r="DK86" s="1008"/>
      <c r="DL86" s="1008"/>
      <c r="DM86" s="1008"/>
      <c r="DN86" s="1008">
        <f t="shared" si="86"/>
        <v>0</v>
      </c>
      <c r="DO86" s="1008"/>
      <c r="DP86" s="1008">
        <f t="shared" si="87"/>
        <v>0</v>
      </c>
      <c r="DQ86" s="1008">
        <f t="shared" si="87"/>
        <v>0</v>
      </c>
      <c r="DR86" s="1008"/>
      <c r="DS86" s="1008">
        <f t="shared" si="88"/>
        <v>0</v>
      </c>
      <c r="DT86" s="1008">
        <f t="shared" si="88"/>
        <v>0</v>
      </c>
      <c r="DU86" s="1008"/>
      <c r="DV86" s="1008">
        <f t="shared" si="89"/>
        <v>0</v>
      </c>
      <c r="DW86" s="1008">
        <f t="shared" si="89"/>
        <v>0</v>
      </c>
      <c r="DX86" s="1008">
        <f t="shared" si="89"/>
        <v>0</v>
      </c>
      <c r="DY86" s="1008">
        <f t="shared" si="90"/>
        <v>0</v>
      </c>
      <c r="DZ86" s="1008">
        <f t="shared" si="90"/>
        <v>0</v>
      </c>
      <c r="EA86" s="1008">
        <f t="shared" si="90"/>
        <v>0</v>
      </c>
      <c r="EB86" s="1008">
        <f t="shared" si="90"/>
        <v>0</v>
      </c>
      <c r="EC86" s="1008"/>
      <c r="ED86" s="1008">
        <f t="shared" si="91"/>
        <v>18651115</v>
      </c>
    </row>
    <row r="87" spans="1:134" ht="36" hidden="1" customHeight="1" x14ac:dyDescent="0.25">
      <c r="A87" s="1565"/>
      <c r="B87" s="1019"/>
      <c r="C87" s="1116" t="s">
        <v>4424</v>
      </c>
      <c r="D87" s="1019" t="s">
        <v>4358</v>
      </c>
      <c r="E87" s="1020">
        <v>520</v>
      </c>
      <c r="F87" s="1120" t="s">
        <v>3350</v>
      </c>
      <c r="G87" s="1400"/>
      <c r="H87" s="1061">
        <f t="shared" si="70"/>
        <v>151633574</v>
      </c>
      <c r="I87" s="1061">
        <f t="shared" si="71"/>
        <v>459230861</v>
      </c>
      <c r="J87" s="1399" t="s">
        <v>4869</v>
      </c>
      <c r="K87" s="1283" t="s">
        <v>4876</v>
      </c>
      <c r="L87" s="1283" t="s">
        <v>4882</v>
      </c>
      <c r="M87" s="1115">
        <v>0</v>
      </c>
      <c r="N87" s="1115">
        <v>8</v>
      </c>
      <c r="O87" s="1115">
        <v>0</v>
      </c>
      <c r="P87" s="1115">
        <v>0</v>
      </c>
      <c r="Q87" s="1115">
        <v>0</v>
      </c>
      <c r="R87" s="1115">
        <v>0</v>
      </c>
      <c r="S87" s="1120"/>
      <c r="T87" s="1120"/>
      <c r="U87" s="1120"/>
      <c r="V87" s="1120"/>
      <c r="W87" s="1120"/>
      <c r="X87" s="1120"/>
      <c r="Y87" s="1008">
        <f t="shared" si="72"/>
        <v>610864435</v>
      </c>
      <c r="Z87" s="944"/>
      <c r="AA87" s="944"/>
      <c r="AB87" s="944"/>
      <c r="AC87" s="944"/>
      <c r="AD87" s="944"/>
      <c r="AE87" s="944"/>
      <c r="AF87" s="1008"/>
      <c r="AG87" s="1008"/>
      <c r="AH87" s="1008"/>
      <c r="AI87" s="1008"/>
      <c r="AJ87" s="1008"/>
      <c r="AK87" s="1008"/>
      <c r="AL87" s="1008">
        <f>450000000+160864435</f>
        <v>610864435</v>
      </c>
      <c r="AM87" s="1008"/>
      <c r="AN87" s="1008"/>
      <c r="AO87" s="1008"/>
      <c r="AP87" s="1008"/>
      <c r="AQ87" s="1008"/>
      <c r="AR87" s="1008"/>
      <c r="AS87" s="1008"/>
      <c r="AT87" s="203"/>
      <c r="AU87" s="1011">
        <f t="shared" si="73"/>
        <v>0.40051566596768723</v>
      </c>
      <c r="AV87" s="1008">
        <f t="shared" si="74"/>
        <v>244660776</v>
      </c>
      <c r="AW87" s="1008"/>
      <c r="AX87" s="1008"/>
      <c r="AY87" s="1008"/>
      <c r="AZ87" s="1008"/>
      <c r="BA87" s="1008"/>
      <c r="BB87" s="1008"/>
      <c r="BC87" s="1008"/>
      <c r="BD87" s="1008"/>
      <c r="BE87" s="1008"/>
      <c r="BF87" s="1008"/>
      <c r="BG87" s="1008"/>
      <c r="BH87" s="1008"/>
      <c r="BI87" s="1008">
        <f>+'[18]OCTUBRE 2015'!$V$4087</f>
        <v>244660776</v>
      </c>
      <c r="BJ87" s="1008"/>
      <c r="BK87" s="1008"/>
      <c r="BL87" s="1008"/>
      <c r="BM87" s="1008"/>
      <c r="BN87" s="1008"/>
      <c r="BO87" s="1008"/>
      <c r="BP87" s="1008"/>
      <c r="BQ87" s="1011">
        <f t="shared" si="25"/>
        <v>0.59948433403231283</v>
      </c>
      <c r="BR87" s="1008">
        <f t="shared" si="75"/>
        <v>366203659</v>
      </c>
      <c r="BS87" s="1008">
        <f t="shared" si="76"/>
        <v>0</v>
      </c>
      <c r="BT87" s="1008">
        <f t="shared" si="77"/>
        <v>0</v>
      </c>
      <c r="BU87" s="1008"/>
      <c r="BV87" s="1008">
        <f t="shared" si="78"/>
        <v>0</v>
      </c>
      <c r="BW87" s="1008"/>
      <c r="BX87" s="1008">
        <f t="shared" si="79"/>
        <v>0</v>
      </c>
      <c r="BY87" s="1008">
        <f t="shared" si="79"/>
        <v>0</v>
      </c>
      <c r="BZ87" s="1008"/>
      <c r="CA87" s="1008">
        <f t="shared" si="92"/>
        <v>0</v>
      </c>
      <c r="CB87" s="1008">
        <f t="shared" si="92"/>
        <v>0</v>
      </c>
      <c r="CC87" s="1008"/>
      <c r="CD87" s="1008">
        <f t="shared" si="93"/>
        <v>0</v>
      </c>
      <c r="CE87" s="1008">
        <f t="shared" si="93"/>
        <v>366203659</v>
      </c>
      <c r="CF87" s="1008">
        <f t="shared" si="93"/>
        <v>0</v>
      </c>
      <c r="CG87" s="1008">
        <f t="shared" si="93"/>
        <v>0</v>
      </c>
      <c r="CH87" s="1008">
        <f t="shared" si="93"/>
        <v>0</v>
      </c>
      <c r="CI87" s="1008">
        <f t="shared" si="93"/>
        <v>0</v>
      </c>
      <c r="CJ87" s="1008"/>
      <c r="CK87" s="1008"/>
      <c r="CL87" s="1008">
        <f t="shared" si="81"/>
        <v>0</v>
      </c>
      <c r="CM87" s="1011">
        <f t="shared" si="82"/>
        <v>0.24822786417415182</v>
      </c>
      <c r="CN87" s="1008">
        <f t="shared" si="83"/>
        <v>151633574</v>
      </c>
      <c r="CO87" s="1008"/>
      <c r="CP87" s="1008"/>
      <c r="CQ87" s="1008"/>
      <c r="CR87" s="1008"/>
      <c r="CS87" s="1008"/>
      <c r="CT87" s="1008"/>
      <c r="CU87" s="1008"/>
      <c r="CV87" s="1008"/>
      <c r="CW87" s="1008"/>
      <c r="CX87" s="1008"/>
      <c r="CY87" s="1008"/>
      <c r="CZ87" s="1008"/>
      <c r="DA87" s="1008">
        <f>+'[18]OCTUBRE 2015'!$H$4085</f>
        <v>151633574</v>
      </c>
      <c r="DB87" s="1008"/>
      <c r="DC87" s="1008"/>
      <c r="DD87" s="1008"/>
      <c r="DE87" s="1008"/>
      <c r="DF87" s="1008"/>
      <c r="DG87" s="1008"/>
      <c r="DH87" s="1008"/>
      <c r="DI87" s="1011">
        <f t="shared" si="84"/>
        <v>0.75177213582584823</v>
      </c>
      <c r="DJ87" s="1008">
        <f t="shared" si="85"/>
        <v>459230861</v>
      </c>
      <c r="DK87" s="1008"/>
      <c r="DL87" s="1008"/>
      <c r="DM87" s="1008"/>
      <c r="DN87" s="1008">
        <f t="shared" si="86"/>
        <v>0</v>
      </c>
      <c r="DO87" s="1008"/>
      <c r="DP87" s="1008">
        <f t="shared" si="87"/>
        <v>0</v>
      </c>
      <c r="DQ87" s="1008">
        <f t="shared" si="87"/>
        <v>0</v>
      </c>
      <c r="DR87" s="1008"/>
      <c r="DS87" s="1008">
        <f t="shared" si="88"/>
        <v>0</v>
      </c>
      <c r="DT87" s="1008">
        <f t="shared" si="88"/>
        <v>0</v>
      </c>
      <c r="DU87" s="1008"/>
      <c r="DV87" s="1008">
        <f t="shared" si="89"/>
        <v>0</v>
      </c>
      <c r="DW87" s="1008">
        <f t="shared" si="89"/>
        <v>459230861</v>
      </c>
      <c r="DX87" s="1008">
        <f t="shared" si="89"/>
        <v>0</v>
      </c>
      <c r="DY87" s="1008">
        <f t="shared" si="90"/>
        <v>0</v>
      </c>
      <c r="DZ87" s="1008">
        <f t="shared" si="90"/>
        <v>0</v>
      </c>
      <c r="EA87" s="1008">
        <f t="shared" si="90"/>
        <v>0</v>
      </c>
      <c r="EB87" s="1008">
        <f t="shared" si="90"/>
        <v>0</v>
      </c>
      <c r="EC87" s="1008"/>
      <c r="ED87" s="1008">
        <f t="shared" si="91"/>
        <v>0</v>
      </c>
    </row>
    <row r="88" spans="1:134" ht="33" hidden="1" customHeight="1" x14ac:dyDescent="0.25">
      <c r="A88" s="1565"/>
      <c r="B88" s="1019"/>
      <c r="C88" s="1116" t="s">
        <v>4425</v>
      </c>
      <c r="D88" s="1019" t="s">
        <v>4618</v>
      </c>
      <c r="E88" s="1020">
        <v>520</v>
      </c>
      <c r="F88" s="1120" t="s">
        <v>3350</v>
      </c>
      <c r="G88" s="1401"/>
      <c r="H88" s="1061">
        <f t="shared" si="70"/>
        <v>0</v>
      </c>
      <c r="I88" s="1061">
        <f t="shared" si="71"/>
        <v>23014856</v>
      </c>
      <c r="J88" s="1401"/>
      <c r="K88" s="1284"/>
      <c r="L88" s="1284"/>
      <c r="M88" s="1115">
        <v>0</v>
      </c>
      <c r="N88" s="1115">
        <v>0</v>
      </c>
      <c r="O88" s="1115">
        <v>0</v>
      </c>
      <c r="P88" s="1115">
        <v>0</v>
      </c>
      <c r="Q88" s="1115">
        <v>40</v>
      </c>
      <c r="R88" s="1115">
        <v>0</v>
      </c>
      <c r="S88" s="1120"/>
      <c r="T88" s="1120"/>
      <c r="U88" s="1120"/>
      <c r="V88" s="1120"/>
      <c r="W88" s="1120"/>
      <c r="X88" s="1120"/>
      <c r="Y88" s="1008">
        <f t="shared" si="72"/>
        <v>23014856</v>
      </c>
      <c r="Z88" s="944"/>
      <c r="AA88" s="1017">
        <f>23014856-23014856</f>
        <v>0</v>
      </c>
      <c r="AB88" s="1017"/>
      <c r="AC88" s="944"/>
      <c r="AD88" s="944"/>
      <c r="AE88" s="944"/>
      <c r="AF88" s="1008">
        <v>23014856</v>
      </c>
      <c r="AG88" s="1008"/>
      <c r="AH88" s="1008"/>
      <c r="AI88" s="1008"/>
      <c r="AJ88" s="1008"/>
      <c r="AK88" s="1008"/>
      <c r="AL88" s="1008"/>
      <c r="AM88" s="1008"/>
      <c r="AN88" s="1008"/>
      <c r="AO88" s="1008"/>
      <c r="AP88" s="1008"/>
      <c r="AQ88" s="1008"/>
      <c r="AR88" s="1008"/>
      <c r="AS88" s="1008"/>
      <c r="AT88" s="203"/>
      <c r="AU88" s="1011">
        <f t="shared" si="73"/>
        <v>0</v>
      </c>
      <c r="AV88" s="1008">
        <f t="shared" si="74"/>
        <v>0</v>
      </c>
      <c r="AW88" s="1008"/>
      <c r="AX88" s="1008"/>
      <c r="AY88" s="1008"/>
      <c r="AZ88" s="1008"/>
      <c r="BA88" s="1008"/>
      <c r="BB88" s="1008"/>
      <c r="BC88" s="1008"/>
      <c r="BD88" s="1008"/>
      <c r="BE88" s="1008"/>
      <c r="BF88" s="1008"/>
      <c r="BG88" s="1008"/>
      <c r="BH88" s="1008"/>
      <c r="BI88" s="1008"/>
      <c r="BJ88" s="1008"/>
      <c r="BK88" s="1008"/>
      <c r="BL88" s="1008"/>
      <c r="BM88" s="1008"/>
      <c r="BN88" s="1008"/>
      <c r="BO88" s="1008"/>
      <c r="BP88" s="1008"/>
      <c r="BQ88" s="1011">
        <f t="shared" ref="BQ88:BQ104" si="94">1-AU88</f>
        <v>1</v>
      </c>
      <c r="BR88" s="1008">
        <f t="shared" si="75"/>
        <v>23014856</v>
      </c>
      <c r="BS88" s="1008">
        <f t="shared" si="76"/>
        <v>0</v>
      </c>
      <c r="BT88" s="1008">
        <f t="shared" si="77"/>
        <v>0</v>
      </c>
      <c r="BU88" s="1008"/>
      <c r="BV88" s="1008">
        <f t="shared" si="78"/>
        <v>0</v>
      </c>
      <c r="BW88" s="1008"/>
      <c r="BX88" s="1008">
        <f t="shared" si="79"/>
        <v>0</v>
      </c>
      <c r="BY88" s="1008">
        <f t="shared" si="79"/>
        <v>23014856</v>
      </c>
      <c r="BZ88" s="1008"/>
      <c r="CA88" s="1008">
        <f t="shared" si="92"/>
        <v>0</v>
      </c>
      <c r="CB88" s="1008">
        <f t="shared" si="92"/>
        <v>0</v>
      </c>
      <c r="CC88" s="1008"/>
      <c r="CD88" s="1008">
        <f t="shared" si="93"/>
        <v>0</v>
      </c>
      <c r="CE88" s="1008">
        <f t="shared" si="93"/>
        <v>0</v>
      </c>
      <c r="CF88" s="1008">
        <f t="shared" si="93"/>
        <v>0</v>
      </c>
      <c r="CG88" s="1008">
        <f t="shared" si="93"/>
        <v>0</v>
      </c>
      <c r="CH88" s="1008">
        <f t="shared" si="93"/>
        <v>0</v>
      </c>
      <c r="CI88" s="1008">
        <f t="shared" si="93"/>
        <v>0</v>
      </c>
      <c r="CJ88" s="1008"/>
      <c r="CK88" s="1008"/>
      <c r="CL88" s="1008">
        <f t="shared" si="81"/>
        <v>0</v>
      </c>
      <c r="CM88" s="1011">
        <f t="shared" si="82"/>
        <v>0</v>
      </c>
      <c r="CN88" s="1008">
        <f t="shared" si="83"/>
        <v>0</v>
      </c>
      <c r="CO88" s="1008"/>
      <c r="CP88" s="1008"/>
      <c r="CQ88" s="1008"/>
      <c r="CR88" s="1008"/>
      <c r="CS88" s="1008"/>
      <c r="CT88" s="1008"/>
      <c r="CU88" s="1008"/>
      <c r="CV88" s="1008"/>
      <c r="CW88" s="1008"/>
      <c r="CX88" s="1008"/>
      <c r="CY88" s="1008"/>
      <c r="CZ88" s="1008"/>
      <c r="DA88" s="1008"/>
      <c r="DB88" s="1008"/>
      <c r="DC88" s="1008"/>
      <c r="DD88" s="1008"/>
      <c r="DE88" s="1008"/>
      <c r="DF88" s="1008"/>
      <c r="DG88" s="1008"/>
      <c r="DH88" s="1008"/>
      <c r="DI88" s="1011">
        <f t="shared" si="84"/>
        <v>1</v>
      </c>
      <c r="DJ88" s="1008">
        <f t="shared" si="85"/>
        <v>23014856</v>
      </c>
      <c r="DK88" s="1008"/>
      <c r="DL88" s="1008">
        <f>AA88-CP88</f>
        <v>0</v>
      </c>
      <c r="DM88" s="1008">
        <f>AB88-CQ88</f>
        <v>0</v>
      </c>
      <c r="DN88" s="1008">
        <f t="shared" si="86"/>
        <v>0</v>
      </c>
      <c r="DO88" s="1008"/>
      <c r="DP88" s="1008">
        <f t="shared" si="87"/>
        <v>0</v>
      </c>
      <c r="DQ88" s="1008">
        <f t="shared" si="87"/>
        <v>23014856</v>
      </c>
      <c r="DR88" s="1008"/>
      <c r="DS88" s="1008">
        <f t="shared" si="88"/>
        <v>0</v>
      </c>
      <c r="DT88" s="1008">
        <f t="shared" si="88"/>
        <v>0</v>
      </c>
      <c r="DU88" s="1008"/>
      <c r="DV88" s="1008">
        <f t="shared" si="89"/>
        <v>0</v>
      </c>
      <c r="DW88" s="1008">
        <f t="shared" si="89"/>
        <v>0</v>
      </c>
      <c r="DX88" s="1008">
        <f t="shared" si="89"/>
        <v>0</v>
      </c>
      <c r="DY88" s="1008">
        <f t="shared" si="90"/>
        <v>0</v>
      </c>
      <c r="DZ88" s="1008">
        <f t="shared" si="90"/>
        <v>0</v>
      </c>
      <c r="EA88" s="1008">
        <f t="shared" si="90"/>
        <v>0</v>
      </c>
      <c r="EB88" s="1008">
        <f t="shared" si="90"/>
        <v>0</v>
      </c>
      <c r="EC88" s="1008"/>
      <c r="ED88" s="1008">
        <f t="shared" si="91"/>
        <v>0</v>
      </c>
    </row>
    <row r="89" spans="1:134" ht="54.75" hidden="1" customHeight="1" x14ac:dyDescent="0.25">
      <c r="A89" s="1565"/>
      <c r="B89" s="1019" t="s">
        <v>4359</v>
      </c>
      <c r="C89" s="1116" t="s">
        <v>4426</v>
      </c>
      <c r="D89" s="1019" t="s">
        <v>4725</v>
      </c>
      <c r="E89" s="1020">
        <v>520</v>
      </c>
      <c r="F89" s="1120" t="s">
        <v>4360</v>
      </c>
      <c r="G89" s="1399">
        <v>150000000</v>
      </c>
      <c r="H89" s="1061">
        <f t="shared" si="70"/>
        <v>0</v>
      </c>
      <c r="I89" s="1061">
        <f t="shared" si="71"/>
        <v>40000000</v>
      </c>
      <c r="J89" s="1399" t="s">
        <v>4771</v>
      </c>
      <c r="K89" s="1283" t="s">
        <v>4883</v>
      </c>
      <c r="L89" s="1283" t="s">
        <v>4884</v>
      </c>
      <c r="M89" s="1115">
        <v>0</v>
      </c>
      <c r="N89" s="1115">
        <v>0</v>
      </c>
      <c r="O89" s="1115">
        <v>0</v>
      </c>
      <c r="P89" s="1115">
        <v>0</v>
      </c>
      <c r="Q89" s="1115">
        <v>0</v>
      </c>
      <c r="R89" s="1115">
        <v>0</v>
      </c>
      <c r="S89" s="1120"/>
      <c r="T89" s="1120"/>
      <c r="U89" s="1120"/>
      <c r="V89" s="1120"/>
      <c r="W89" s="1120"/>
      <c r="X89" s="1120"/>
      <c r="Y89" s="1008">
        <f t="shared" si="72"/>
        <v>40000000</v>
      </c>
      <c r="Z89" s="944"/>
      <c r="AA89" s="944"/>
      <c r="AB89" s="944"/>
      <c r="AC89" s="1008">
        <f>10000000-10000000</f>
        <v>0</v>
      </c>
      <c r="AD89" s="1008"/>
      <c r="AE89" s="1008">
        <v>30000000</v>
      </c>
      <c r="AF89" s="1008"/>
      <c r="AG89" s="1008"/>
      <c r="AH89" s="1008"/>
      <c r="AI89" s="1008"/>
      <c r="AJ89" s="1008"/>
      <c r="AK89" s="1008"/>
      <c r="AL89" s="1008"/>
      <c r="AM89" s="1008"/>
      <c r="AN89" s="1008">
        <v>10000000</v>
      </c>
      <c r="AO89" s="1008"/>
      <c r="AP89" s="1008"/>
      <c r="AQ89" s="1008"/>
      <c r="AR89" s="1008"/>
      <c r="AS89" s="1008"/>
      <c r="AT89" s="203"/>
      <c r="AU89" s="1011">
        <f t="shared" si="73"/>
        <v>1</v>
      </c>
      <c r="AV89" s="1008">
        <f t="shared" si="74"/>
        <v>40000000</v>
      </c>
      <c r="AW89" s="1008"/>
      <c r="AX89" s="1008"/>
      <c r="AY89" s="1008"/>
      <c r="AZ89" s="1008"/>
      <c r="BA89" s="1008"/>
      <c r="BB89" s="1008">
        <f>+'[9]FEBRERO 2015'!$N$1172</f>
        <v>30000000</v>
      </c>
      <c r="BC89" s="1008"/>
      <c r="BD89" s="1008"/>
      <c r="BE89" s="1008"/>
      <c r="BF89" s="1008"/>
      <c r="BG89" s="1008"/>
      <c r="BH89" s="1008"/>
      <c r="BI89" s="1008"/>
      <c r="BJ89" s="1008"/>
      <c r="BK89" s="1008">
        <f>+'[8]FEBRERO 2015'!$W$1245</f>
        <v>10000000</v>
      </c>
      <c r="BL89" s="1008"/>
      <c r="BM89" s="1008"/>
      <c r="BN89" s="1008"/>
      <c r="BO89" s="1008"/>
      <c r="BP89" s="1008"/>
      <c r="BQ89" s="1011">
        <f t="shared" si="94"/>
        <v>0</v>
      </c>
      <c r="BR89" s="1008">
        <f t="shared" si="75"/>
        <v>0</v>
      </c>
      <c r="BS89" s="1008">
        <f t="shared" si="76"/>
        <v>0</v>
      </c>
      <c r="BT89" s="1008">
        <f t="shared" si="77"/>
        <v>0</v>
      </c>
      <c r="BU89" s="1008"/>
      <c r="BV89" s="1008">
        <f t="shared" si="78"/>
        <v>0</v>
      </c>
      <c r="BW89" s="1008"/>
      <c r="BX89" s="1008">
        <f t="shared" si="79"/>
        <v>0</v>
      </c>
      <c r="BY89" s="1008">
        <f t="shared" si="79"/>
        <v>0</v>
      </c>
      <c r="BZ89" s="1008"/>
      <c r="CA89" s="1008">
        <f t="shared" si="92"/>
        <v>0</v>
      </c>
      <c r="CB89" s="1008">
        <f t="shared" si="92"/>
        <v>0</v>
      </c>
      <c r="CC89" s="1008"/>
      <c r="CD89" s="1008">
        <f t="shared" si="93"/>
        <v>0</v>
      </c>
      <c r="CE89" s="1008">
        <f t="shared" si="93"/>
        <v>0</v>
      </c>
      <c r="CF89" s="1008">
        <f t="shared" si="93"/>
        <v>0</v>
      </c>
      <c r="CG89" s="1008">
        <f t="shared" si="93"/>
        <v>0</v>
      </c>
      <c r="CH89" s="1008">
        <f t="shared" si="93"/>
        <v>0</v>
      </c>
      <c r="CI89" s="1008">
        <f t="shared" si="93"/>
        <v>0</v>
      </c>
      <c r="CJ89" s="1008"/>
      <c r="CK89" s="1008"/>
      <c r="CL89" s="1008">
        <f t="shared" si="81"/>
        <v>0</v>
      </c>
      <c r="CM89" s="1011">
        <f t="shared" si="82"/>
        <v>0</v>
      </c>
      <c r="CN89" s="1008">
        <f t="shared" si="83"/>
        <v>0</v>
      </c>
      <c r="CO89" s="1008"/>
      <c r="CP89" s="1008"/>
      <c r="CQ89" s="1008"/>
      <c r="CR89" s="1008"/>
      <c r="CS89" s="1008"/>
      <c r="CT89" s="1008"/>
      <c r="CU89" s="1008"/>
      <c r="CV89" s="1008"/>
      <c r="CW89" s="1008"/>
      <c r="CX89" s="1008"/>
      <c r="CY89" s="1008"/>
      <c r="CZ89" s="1008"/>
      <c r="DA89" s="1008"/>
      <c r="DB89" s="1008"/>
      <c r="DC89" s="1008"/>
      <c r="DD89" s="1008"/>
      <c r="DE89" s="1008"/>
      <c r="DF89" s="1008"/>
      <c r="DG89" s="1008"/>
      <c r="DH89" s="1008"/>
      <c r="DI89" s="1011">
        <f t="shared" si="84"/>
        <v>1</v>
      </c>
      <c r="DJ89" s="1008">
        <f t="shared" si="85"/>
        <v>40000000</v>
      </c>
      <c r="DK89" s="1008"/>
      <c r="DL89" s="1008"/>
      <c r="DM89" s="1008"/>
      <c r="DN89" s="1008">
        <f t="shared" si="86"/>
        <v>0</v>
      </c>
      <c r="DO89" s="1008"/>
      <c r="DP89" s="1008">
        <f t="shared" si="87"/>
        <v>30000000</v>
      </c>
      <c r="DQ89" s="1008">
        <f t="shared" si="87"/>
        <v>0</v>
      </c>
      <c r="DR89" s="1008"/>
      <c r="DS89" s="1008">
        <f t="shared" si="88"/>
        <v>0</v>
      </c>
      <c r="DT89" s="1008">
        <f t="shared" si="88"/>
        <v>0</v>
      </c>
      <c r="DU89" s="1008"/>
      <c r="DV89" s="1008">
        <f t="shared" si="89"/>
        <v>0</v>
      </c>
      <c r="DW89" s="1008">
        <f t="shared" si="89"/>
        <v>0</v>
      </c>
      <c r="DX89" s="1008">
        <f t="shared" si="89"/>
        <v>0</v>
      </c>
      <c r="DY89" s="1008">
        <f t="shared" si="90"/>
        <v>10000000</v>
      </c>
      <c r="DZ89" s="1008">
        <f t="shared" si="90"/>
        <v>0</v>
      </c>
      <c r="EA89" s="1008">
        <f t="shared" si="90"/>
        <v>0</v>
      </c>
      <c r="EB89" s="1008">
        <f t="shared" si="90"/>
        <v>0</v>
      </c>
      <c r="EC89" s="1008"/>
      <c r="ED89" s="1008">
        <f t="shared" si="91"/>
        <v>0</v>
      </c>
    </row>
    <row r="90" spans="1:134" ht="24" hidden="1" customHeight="1" x14ac:dyDescent="0.25">
      <c r="A90" s="1565"/>
      <c r="B90" s="1029"/>
      <c r="C90" s="1116" t="s">
        <v>4427</v>
      </c>
      <c r="D90" s="1019" t="s">
        <v>4619</v>
      </c>
      <c r="E90" s="1020">
        <v>520</v>
      </c>
      <c r="F90" s="1120" t="s">
        <v>3350</v>
      </c>
      <c r="G90" s="1400"/>
      <c r="H90" s="1061">
        <f t="shared" si="70"/>
        <v>48739200</v>
      </c>
      <c r="I90" s="1061">
        <f t="shared" si="71"/>
        <v>1260800</v>
      </c>
      <c r="J90" s="1400"/>
      <c r="K90" s="1573"/>
      <c r="L90" s="1573"/>
      <c r="M90" s="1115">
        <v>0</v>
      </c>
      <c r="N90" s="1115">
        <v>0</v>
      </c>
      <c r="O90" s="1115">
        <v>0</v>
      </c>
      <c r="P90" s="1115">
        <v>90</v>
      </c>
      <c r="Q90" s="1115">
        <v>80</v>
      </c>
      <c r="R90" s="1115">
        <v>72</v>
      </c>
      <c r="S90" s="1120"/>
      <c r="T90" s="1120"/>
      <c r="U90" s="1120"/>
      <c r="V90" s="1120"/>
      <c r="W90" s="1120"/>
      <c r="X90" s="1120"/>
      <c r="Y90" s="1008">
        <f t="shared" si="72"/>
        <v>50000000</v>
      </c>
      <c r="Z90" s="944"/>
      <c r="AA90" s="944"/>
      <c r="AB90" s="944"/>
      <c r="AC90" s="1008">
        <v>40000000</v>
      </c>
      <c r="AD90" s="1008"/>
      <c r="AE90" s="1008"/>
      <c r="AF90" s="1008"/>
      <c r="AG90" s="1008"/>
      <c r="AH90" s="1008"/>
      <c r="AI90" s="1008"/>
      <c r="AJ90" s="1008"/>
      <c r="AK90" s="1008"/>
      <c r="AL90" s="1008"/>
      <c r="AM90" s="1008"/>
      <c r="AN90" s="1008">
        <v>10000000</v>
      </c>
      <c r="AO90" s="1008"/>
      <c r="AP90" s="1008"/>
      <c r="AQ90" s="1008"/>
      <c r="AR90" s="1008"/>
      <c r="AS90" s="1008"/>
      <c r="AT90" s="203"/>
      <c r="AU90" s="1011">
        <f t="shared" si="73"/>
        <v>1</v>
      </c>
      <c r="AV90" s="1008">
        <f t="shared" si="74"/>
        <v>50000000</v>
      </c>
      <c r="AW90" s="1008"/>
      <c r="AX90" s="1008"/>
      <c r="AY90" s="1008"/>
      <c r="AZ90" s="1008">
        <f>+'[11]ABRIL 2015'!$L$1730</f>
        <v>40000000</v>
      </c>
      <c r="BA90" s="1008"/>
      <c r="BB90" s="1008"/>
      <c r="BC90" s="1008"/>
      <c r="BD90" s="1008"/>
      <c r="BE90" s="1008"/>
      <c r="BF90" s="1008"/>
      <c r="BG90" s="1008"/>
      <c r="BH90" s="1008"/>
      <c r="BI90" s="1008"/>
      <c r="BJ90" s="1008"/>
      <c r="BK90" s="1008">
        <f>+'[14]JUNIO 2015'!$X$2249</f>
        <v>10000000</v>
      </c>
      <c r="BL90" s="1008"/>
      <c r="BM90" s="1008"/>
      <c r="BN90" s="1008"/>
      <c r="BO90" s="1008"/>
      <c r="BP90" s="1008"/>
      <c r="BQ90" s="1011">
        <f t="shared" si="94"/>
        <v>0</v>
      </c>
      <c r="BR90" s="1008">
        <f t="shared" si="75"/>
        <v>0</v>
      </c>
      <c r="BS90" s="1008">
        <f t="shared" si="76"/>
        <v>0</v>
      </c>
      <c r="BT90" s="1008">
        <f t="shared" si="77"/>
        <v>0</v>
      </c>
      <c r="BU90" s="1008"/>
      <c r="BV90" s="1008">
        <f t="shared" si="78"/>
        <v>0</v>
      </c>
      <c r="BW90" s="1008"/>
      <c r="BX90" s="1008">
        <f t="shared" si="79"/>
        <v>0</v>
      </c>
      <c r="BY90" s="1008">
        <f t="shared" si="79"/>
        <v>0</v>
      </c>
      <c r="BZ90" s="1008"/>
      <c r="CA90" s="1008">
        <f t="shared" si="92"/>
        <v>0</v>
      </c>
      <c r="CB90" s="1008">
        <f t="shared" si="92"/>
        <v>0</v>
      </c>
      <c r="CC90" s="1008"/>
      <c r="CD90" s="1008">
        <f t="shared" si="93"/>
        <v>0</v>
      </c>
      <c r="CE90" s="1008">
        <f t="shared" si="93"/>
        <v>0</v>
      </c>
      <c r="CF90" s="1008">
        <f t="shared" si="93"/>
        <v>0</v>
      </c>
      <c r="CG90" s="1008">
        <f t="shared" si="93"/>
        <v>0</v>
      </c>
      <c r="CH90" s="1008">
        <f t="shared" si="93"/>
        <v>0</v>
      </c>
      <c r="CI90" s="1008">
        <f t="shared" si="93"/>
        <v>0</v>
      </c>
      <c r="CJ90" s="1008"/>
      <c r="CK90" s="1008"/>
      <c r="CL90" s="1008">
        <f t="shared" si="81"/>
        <v>0</v>
      </c>
      <c r="CM90" s="1011">
        <f t="shared" si="82"/>
        <v>0.97478399999999998</v>
      </c>
      <c r="CN90" s="1008">
        <f t="shared" si="83"/>
        <v>48739200</v>
      </c>
      <c r="CO90" s="1008"/>
      <c r="CP90" s="1008"/>
      <c r="CQ90" s="1008"/>
      <c r="CR90" s="1008">
        <f>+'[14]JUNIO 2015'!$H$2252</f>
        <v>40000000</v>
      </c>
      <c r="CS90" s="1008"/>
      <c r="CT90" s="1008"/>
      <c r="CU90" s="1008"/>
      <c r="CV90" s="1008"/>
      <c r="CW90" s="1008"/>
      <c r="CX90" s="1008"/>
      <c r="CY90" s="1008"/>
      <c r="CZ90" s="1008"/>
      <c r="DA90" s="1008"/>
      <c r="DB90" s="1008"/>
      <c r="DC90" s="1008">
        <f>+'[15]JULIO 2015'!$H$2631</f>
        <v>8739200</v>
      </c>
      <c r="DD90" s="1008"/>
      <c r="DE90" s="1008"/>
      <c r="DF90" s="1008"/>
      <c r="DG90" s="1008"/>
      <c r="DH90" s="1008"/>
      <c r="DI90" s="1011">
        <f t="shared" si="84"/>
        <v>2.5216000000000016E-2</v>
      </c>
      <c r="DJ90" s="1008">
        <f t="shared" si="85"/>
        <v>1260800</v>
      </c>
      <c r="DK90" s="1008"/>
      <c r="DL90" s="1008"/>
      <c r="DM90" s="1008"/>
      <c r="DN90" s="1008">
        <f t="shared" si="86"/>
        <v>0</v>
      </c>
      <c r="DO90" s="1008"/>
      <c r="DP90" s="1008">
        <f t="shared" si="87"/>
        <v>0</v>
      </c>
      <c r="DQ90" s="1008">
        <f t="shared" si="87"/>
        <v>0</v>
      </c>
      <c r="DR90" s="1008"/>
      <c r="DS90" s="1008">
        <f t="shared" si="88"/>
        <v>0</v>
      </c>
      <c r="DT90" s="1008">
        <f t="shared" si="88"/>
        <v>0</v>
      </c>
      <c r="DU90" s="1008"/>
      <c r="DV90" s="1008">
        <f t="shared" si="89"/>
        <v>0</v>
      </c>
      <c r="DW90" s="1008">
        <f t="shared" si="89"/>
        <v>0</v>
      </c>
      <c r="DX90" s="1008">
        <f t="shared" si="89"/>
        <v>0</v>
      </c>
      <c r="DY90" s="1008">
        <f t="shared" si="90"/>
        <v>1260800</v>
      </c>
      <c r="DZ90" s="1008">
        <f t="shared" si="90"/>
        <v>0</v>
      </c>
      <c r="EA90" s="1008">
        <f t="shared" si="90"/>
        <v>0</v>
      </c>
      <c r="EB90" s="1008">
        <f t="shared" si="90"/>
        <v>0</v>
      </c>
      <c r="EC90" s="1008"/>
      <c r="ED90" s="1008">
        <f t="shared" si="91"/>
        <v>0</v>
      </c>
    </row>
    <row r="91" spans="1:134" ht="31.5" hidden="1" customHeight="1" x14ac:dyDescent="0.25">
      <c r="A91" s="1565"/>
      <c r="B91" s="1029"/>
      <c r="C91" s="1116" t="s">
        <v>4428</v>
      </c>
      <c r="D91" s="1019" t="s">
        <v>4620</v>
      </c>
      <c r="E91" s="1020">
        <v>520</v>
      </c>
      <c r="F91" s="1120" t="s">
        <v>3350</v>
      </c>
      <c r="G91" s="1400"/>
      <c r="H91" s="1061">
        <f t="shared" si="70"/>
        <v>20000000</v>
      </c>
      <c r="I91" s="1061">
        <f t="shared" si="71"/>
        <v>0</v>
      </c>
      <c r="J91" s="1400"/>
      <c r="K91" s="1573"/>
      <c r="L91" s="1573"/>
      <c r="M91" s="1115">
        <v>100</v>
      </c>
      <c r="N91" s="1115">
        <v>100</v>
      </c>
      <c r="O91" s="1115">
        <v>100</v>
      </c>
      <c r="P91" s="1115">
        <v>100</v>
      </c>
      <c r="Q91" s="1115">
        <v>100</v>
      </c>
      <c r="R91" s="1115">
        <v>100</v>
      </c>
      <c r="S91" s="1120"/>
      <c r="T91" s="1120"/>
      <c r="U91" s="1120"/>
      <c r="V91" s="1120"/>
      <c r="W91" s="1120"/>
      <c r="X91" s="1120"/>
      <c r="Y91" s="1008">
        <f t="shared" si="72"/>
        <v>20000000</v>
      </c>
      <c r="Z91" s="944"/>
      <c r="AA91" s="944"/>
      <c r="AB91" s="944"/>
      <c r="AC91" s="1008"/>
      <c r="AD91" s="1008"/>
      <c r="AE91" s="1008"/>
      <c r="AF91" s="1008">
        <f>30000000-10000000</f>
        <v>20000000</v>
      </c>
      <c r="AG91" s="1008"/>
      <c r="AH91" s="1008"/>
      <c r="AI91" s="1008"/>
      <c r="AJ91" s="1008"/>
      <c r="AK91" s="1008"/>
      <c r="AL91" s="1008"/>
      <c r="AM91" s="1008"/>
      <c r="AN91" s="1008"/>
      <c r="AO91" s="1008"/>
      <c r="AP91" s="1008"/>
      <c r="AQ91" s="1008"/>
      <c r="AR91" s="1008"/>
      <c r="AS91" s="1008"/>
      <c r="AT91" s="203"/>
      <c r="AU91" s="1011">
        <f t="shared" si="73"/>
        <v>1</v>
      </c>
      <c r="AV91" s="1008">
        <f t="shared" si="74"/>
        <v>20000000</v>
      </c>
      <c r="AW91" s="1008"/>
      <c r="AX91" s="1008"/>
      <c r="AY91" s="1008"/>
      <c r="AZ91" s="1008"/>
      <c r="BA91" s="1008"/>
      <c r="BB91" s="1008"/>
      <c r="BC91" s="1008">
        <f>+'[10]MARZO 2015'!$O$1462</f>
        <v>20000000</v>
      </c>
      <c r="BD91" s="1008"/>
      <c r="BE91" s="1008"/>
      <c r="BF91" s="1008"/>
      <c r="BG91" s="1008"/>
      <c r="BH91" s="1008"/>
      <c r="BI91" s="1008"/>
      <c r="BJ91" s="1008"/>
      <c r="BK91" s="1008"/>
      <c r="BL91" s="1008"/>
      <c r="BM91" s="1008"/>
      <c r="BN91" s="1008"/>
      <c r="BO91" s="1008"/>
      <c r="BP91" s="1008"/>
      <c r="BQ91" s="1011">
        <f t="shared" si="94"/>
        <v>0</v>
      </c>
      <c r="BR91" s="1008">
        <f t="shared" si="75"/>
        <v>0</v>
      </c>
      <c r="BS91" s="1008">
        <f t="shared" si="76"/>
        <v>0</v>
      </c>
      <c r="BT91" s="1008">
        <f t="shared" si="77"/>
        <v>0</v>
      </c>
      <c r="BU91" s="1008"/>
      <c r="BV91" s="1008">
        <f t="shared" si="78"/>
        <v>0</v>
      </c>
      <c r="BW91" s="1008"/>
      <c r="BX91" s="1008">
        <f t="shared" si="79"/>
        <v>0</v>
      </c>
      <c r="BY91" s="1008">
        <f t="shared" si="79"/>
        <v>0</v>
      </c>
      <c r="BZ91" s="1008"/>
      <c r="CA91" s="1008">
        <f t="shared" si="92"/>
        <v>0</v>
      </c>
      <c r="CB91" s="1008">
        <f t="shared" si="92"/>
        <v>0</v>
      </c>
      <c r="CC91" s="1008"/>
      <c r="CD91" s="1008">
        <f t="shared" si="93"/>
        <v>0</v>
      </c>
      <c r="CE91" s="1008">
        <f t="shared" si="93"/>
        <v>0</v>
      </c>
      <c r="CF91" s="1008">
        <f t="shared" si="93"/>
        <v>0</v>
      </c>
      <c r="CG91" s="1008">
        <f t="shared" si="93"/>
        <v>0</v>
      </c>
      <c r="CH91" s="1008">
        <f t="shared" si="93"/>
        <v>0</v>
      </c>
      <c r="CI91" s="1008">
        <f t="shared" si="93"/>
        <v>0</v>
      </c>
      <c r="CJ91" s="1008"/>
      <c r="CK91" s="1008"/>
      <c r="CL91" s="1008">
        <f t="shared" si="81"/>
        <v>0</v>
      </c>
      <c r="CM91" s="1011">
        <f t="shared" si="82"/>
        <v>1</v>
      </c>
      <c r="CN91" s="1008">
        <f t="shared" si="83"/>
        <v>20000000</v>
      </c>
      <c r="CO91" s="1008"/>
      <c r="CP91" s="1008"/>
      <c r="CQ91" s="1008"/>
      <c r="CR91" s="1008"/>
      <c r="CS91" s="1008"/>
      <c r="CT91" s="1008"/>
      <c r="CU91" s="1008">
        <f>+'[10]MARZO 2015'!$O$1463</f>
        <v>20000000</v>
      </c>
      <c r="CV91" s="1008"/>
      <c r="CW91" s="1008"/>
      <c r="CX91" s="1008"/>
      <c r="CY91" s="1008"/>
      <c r="CZ91" s="1008"/>
      <c r="DA91" s="1008"/>
      <c r="DB91" s="1008"/>
      <c r="DC91" s="1008"/>
      <c r="DD91" s="1008"/>
      <c r="DE91" s="1008"/>
      <c r="DF91" s="1008"/>
      <c r="DG91" s="1008"/>
      <c r="DH91" s="1008"/>
      <c r="DI91" s="1011">
        <f t="shared" si="84"/>
        <v>0</v>
      </c>
      <c r="DJ91" s="1008">
        <f t="shared" si="85"/>
        <v>0</v>
      </c>
      <c r="DK91" s="1008"/>
      <c r="DL91" s="1008"/>
      <c r="DM91" s="1008"/>
      <c r="DN91" s="1008">
        <f t="shared" si="86"/>
        <v>0</v>
      </c>
      <c r="DO91" s="1008"/>
      <c r="DP91" s="1008">
        <f t="shared" si="87"/>
        <v>0</v>
      </c>
      <c r="DQ91" s="1008">
        <f t="shared" si="87"/>
        <v>0</v>
      </c>
      <c r="DR91" s="1008"/>
      <c r="DS91" s="1008">
        <f t="shared" si="88"/>
        <v>0</v>
      </c>
      <c r="DT91" s="1008">
        <f t="shared" si="88"/>
        <v>0</v>
      </c>
      <c r="DU91" s="1008"/>
      <c r="DV91" s="1008">
        <f t="shared" si="89"/>
        <v>0</v>
      </c>
      <c r="DW91" s="1008">
        <f t="shared" si="89"/>
        <v>0</v>
      </c>
      <c r="DX91" s="1008">
        <f t="shared" si="89"/>
        <v>0</v>
      </c>
      <c r="DY91" s="1008">
        <f t="shared" si="90"/>
        <v>0</v>
      </c>
      <c r="DZ91" s="1008">
        <f t="shared" si="90"/>
        <v>0</v>
      </c>
      <c r="EA91" s="1008">
        <f t="shared" si="90"/>
        <v>0</v>
      </c>
      <c r="EB91" s="1008">
        <f t="shared" si="90"/>
        <v>0</v>
      </c>
      <c r="EC91" s="1008"/>
      <c r="ED91" s="1008">
        <f t="shared" si="91"/>
        <v>0</v>
      </c>
    </row>
    <row r="92" spans="1:134" ht="30.75" hidden="1" customHeight="1" x14ac:dyDescent="0.25">
      <c r="A92" s="1565"/>
      <c r="B92" s="1029"/>
      <c r="C92" s="1116" t="s">
        <v>4429</v>
      </c>
      <c r="D92" s="1019" t="s">
        <v>4621</v>
      </c>
      <c r="E92" s="1020">
        <v>520</v>
      </c>
      <c r="F92" s="1120" t="s">
        <v>3350</v>
      </c>
      <c r="G92" s="1401"/>
      <c r="H92" s="1061">
        <f t="shared" si="70"/>
        <v>13269163</v>
      </c>
      <c r="I92" s="1061">
        <f t="shared" si="71"/>
        <v>26730837</v>
      </c>
      <c r="J92" s="1401"/>
      <c r="K92" s="1284"/>
      <c r="L92" s="1284"/>
      <c r="M92" s="1115">
        <v>0</v>
      </c>
      <c r="N92" s="1115">
        <v>0</v>
      </c>
      <c r="O92" s="1115">
        <v>0</v>
      </c>
      <c r="P92" s="1115">
        <v>22</v>
      </c>
      <c r="Q92" s="1115">
        <v>0</v>
      </c>
      <c r="R92" s="1115">
        <v>0</v>
      </c>
      <c r="S92" s="1120"/>
      <c r="T92" s="1120"/>
      <c r="U92" s="1120"/>
      <c r="V92" s="1120"/>
      <c r="W92" s="1120"/>
      <c r="X92" s="1120"/>
      <c r="Y92" s="1008">
        <f t="shared" si="72"/>
        <v>40000000</v>
      </c>
      <c r="Z92" s="944"/>
      <c r="AA92" s="944"/>
      <c r="AB92" s="944"/>
      <c r="AC92" s="1008">
        <v>10000000</v>
      </c>
      <c r="AD92" s="1008"/>
      <c r="AE92" s="1008">
        <v>30000000</v>
      </c>
      <c r="AF92" s="1008">
        <f>10000000-10000000</f>
        <v>0</v>
      </c>
      <c r="AG92" s="1008"/>
      <c r="AH92" s="1008"/>
      <c r="AI92" s="1008"/>
      <c r="AJ92" s="1008"/>
      <c r="AK92" s="1008"/>
      <c r="AL92" s="1008"/>
      <c r="AM92" s="1008"/>
      <c r="AN92" s="1008"/>
      <c r="AO92" s="1008"/>
      <c r="AP92" s="1008"/>
      <c r="AQ92" s="1008"/>
      <c r="AR92" s="1008"/>
      <c r="AS92" s="1008"/>
      <c r="AT92" s="203"/>
      <c r="AU92" s="1011">
        <f t="shared" si="73"/>
        <v>0.75</v>
      </c>
      <c r="AV92" s="1008">
        <f t="shared" si="74"/>
        <v>30000000</v>
      </c>
      <c r="AW92" s="1008"/>
      <c r="AX92" s="1008"/>
      <c r="AY92" s="1008"/>
      <c r="AZ92" s="1008"/>
      <c r="BA92" s="1008"/>
      <c r="BB92" s="1008">
        <f>+'[9]FEBRERO 2015'!$N$1187</f>
        <v>30000000</v>
      </c>
      <c r="BC92" s="1008"/>
      <c r="BD92" s="1008"/>
      <c r="BE92" s="1008"/>
      <c r="BF92" s="1008"/>
      <c r="BG92" s="1008"/>
      <c r="BH92" s="1008"/>
      <c r="BI92" s="1008"/>
      <c r="BJ92" s="1008"/>
      <c r="BK92" s="1008"/>
      <c r="BL92" s="1008"/>
      <c r="BM92" s="1008"/>
      <c r="BN92" s="1008"/>
      <c r="BO92" s="1008"/>
      <c r="BP92" s="1008"/>
      <c r="BQ92" s="1011">
        <f t="shared" si="94"/>
        <v>0.25</v>
      </c>
      <c r="BR92" s="1008">
        <f t="shared" si="75"/>
        <v>10000000</v>
      </c>
      <c r="BS92" s="1008">
        <f t="shared" si="76"/>
        <v>0</v>
      </c>
      <c r="BT92" s="1008">
        <f t="shared" si="77"/>
        <v>0</v>
      </c>
      <c r="BU92" s="1008"/>
      <c r="BV92" s="1008">
        <f t="shared" si="78"/>
        <v>10000000</v>
      </c>
      <c r="BW92" s="1008"/>
      <c r="BX92" s="1008">
        <f t="shared" si="79"/>
        <v>0</v>
      </c>
      <c r="BY92" s="1008">
        <f t="shared" si="79"/>
        <v>0</v>
      </c>
      <c r="BZ92" s="1008"/>
      <c r="CA92" s="1008">
        <f t="shared" si="92"/>
        <v>0</v>
      </c>
      <c r="CB92" s="1008">
        <f t="shared" si="92"/>
        <v>0</v>
      </c>
      <c r="CC92" s="1008"/>
      <c r="CD92" s="1008">
        <f t="shared" si="93"/>
        <v>0</v>
      </c>
      <c r="CE92" s="1008">
        <f t="shared" si="93"/>
        <v>0</v>
      </c>
      <c r="CF92" s="1008">
        <f t="shared" si="93"/>
        <v>0</v>
      </c>
      <c r="CG92" s="1008">
        <f t="shared" si="93"/>
        <v>0</v>
      </c>
      <c r="CH92" s="1008">
        <f t="shared" si="93"/>
        <v>0</v>
      </c>
      <c r="CI92" s="1008">
        <f t="shared" si="93"/>
        <v>0</v>
      </c>
      <c r="CJ92" s="1008"/>
      <c r="CK92" s="1008"/>
      <c r="CL92" s="1008">
        <f t="shared" si="81"/>
        <v>0</v>
      </c>
      <c r="CM92" s="1011">
        <f t="shared" si="82"/>
        <v>0.33172907499999998</v>
      </c>
      <c r="CN92" s="1008">
        <f t="shared" si="83"/>
        <v>13269163</v>
      </c>
      <c r="CO92" s="1008"/>
      <c r="CP92" s="1008"/>
      <c r="CQ92" s="1008"/>
      <c r="CR92" s="1008"/>
      <c r="CS92" s="1008"/>
      <c r="CT92" s="1008">
        <f>+'[17]SEPTIEMBRE 2015'!$H$3661</f>
        <v>13269163</v>
      </c>
      <c r="CU92" s="1008"/>
      <c r="CV92" s="1008"/>
      <c r="CW92" s="1008"/>
      <c r="CX92" s="1008"/>
      <c r="CY92" s="1008"/>
      <c r="CZ92" s="1008"/>
      <c r="DA92" s="1008"/>
      <c r="DB92" s="1008"/>
      <c r="DC92" s="1008"/>
      <c r="DD92" s="1008"/>
      <c r="DE92" s="1008"/>
      <c r="DF92" s="1008"/>
      <c r="DG92" s="1008"/>
      <c r="DH92" s="1008"/>
      <c r="DI92" s="1011">
        <f t="shared" si="84"/>
        <v>0.66827092500000007</v>
      </c>
      <c r="DJ92" s="1008">
        <f t="shared" si="85"/>
        <v>26730837</v>
      </c>
      <c r="DK92" s="1008"/>
      <c r="DL92" s="1008"/>
      <c r="DM92" s="1008"/>
      <c r="DN92" s="1008">
        <f t="shared" si="86"/>
        <v>10000000</v>
      </c>
      <c r="DO92" s="1008"/>
      <c r="DP92" s="1008">
        <f t="shared" si="87"/>
        <v>16730837</v>
      </c>
      <c r="DQ92" s="1008">
        <f t="shared" si="87"/>
        <v>0</v>
      </c>
      <c r="DR92" s="1008"/>
      <c r="DS92" s="1008">
        <f t="shared" si="88"/>
        <v>0</v>
      </c>
      <c r="DT92" s="1008">
        <f t="shared" si="88"/>
        <v>0</v>
      </c>
      <c r="DU92" s="1008"/>
      <c r="DV92" s="1008">
        <f t="shared" si="89"/>
        <v>0</v>
      </c>
      <c r="DW92" s="1008">
        <f t="shared" si="89"/>
        <v>0</v>
      </c>
      <c r="DX92" s="1008">
        <f t="shared" si="89"/>
        <v>0</v>
      </c>
      <c r="DY92" s="1008">
        <f t="shared" si="90"/>
        <v>0</v>
      </c>
      <c r="DZ92" s="1008">
        <f t="shared" si="90"/>
        <v>0</v>
      </c>
      <c r="EA92" s="1008">
        <f t="shared" si="90"/>
        <v>0</v>
      </c>
      <c r="EB92" s="1008">
        <f t="shared" si="90"/>
        <v>0</v>
      </c>
      <c r="EC92" s="1008"/>
      <c r="ED92" s="1008">
        <f t="shared" si="91"/>
        <v>0</v>
      </c>
    </row>
    <row r="93" spans="1:134" ht="29.25" hidden="1" customHeight="1" x14ac:dyDescent="0.25">
      <c r="A93" s="1565"/>
      <c r="B93" s="1019" t="s">
        <v>4361</v>
      </c>
      <c r="C93" s="1116" t="s">
        <v>4430</v>
      </c>
      <c r="D93" s="1019" t="s">
        <v>4622</v>
      </c>
      <c r="E93" s="1020">
        <v>520</v>
      </c>
      <c r="F93" s="1120" t="s">
        <v>3350</v>
      </c>
      <c r="G93" s="1399">
        <v>20000000</v>
      </c>
      <c r="H93" s="1061">
        <f t="shared" si="70"/>
        <v>7792400</v>
      </c>
      <c r="I93" s="1061">
        <f t="shared" si="71"/>
        <v>2207600</v>
      </c>
      <c r="J93" s="1120" t="s">
        <v>4885</v>
      </c>
      <c r="K93" s="1115" t="s">
        <v>4886</v>
      </c>
      <c r="L93" s="1115" t="s">
        <v>4826</v>
      </c>
      <c r="M93" s="1115">
        <v>0</v>
      </c>
      <c r="N93" s="1115">
        <v>0</v>
      </c>
      <c r="O93" s="1115">
        <v>0</v>
      </c>
      <c r="P93" s="1115">
        <v>0</v>
      </c>
      <c r="Q93" s="1115">
        <v>0</v>
      </c>
      <c r="R93" s="1115">
        <v>0</v>
      </c>
      <c r="S93" s="1120"/>
      <c r="T93" s="1120"/>
      <c r="U93" s="1120"/>
      <c r="V93" s="1120"/>
      <c r="W93" s="1120"/>
      <c r="X93" s="1120"/>
      <c r="Y93" s="1008">
        <f t="shared" si="72"/>
        <v>10000000</v>
      </c>
      <c r="Z93" s="944"/>
      <c r="AA93" s="944"/>
      <c r="AB93" s="944"/>
      <c r="AC93" s="1008"/>
      <c r="AD93" s="1008"/>
      <c r="AE93" s="1008">
        <v>10000000</v>
      </c>
      <c r="AF93" s="1008"/>
      <c r="AG93" s="1008"/>
      <c r="AH93" s="1008"/>
      <c r="AI93" s="1008"/>
      <c r="AJ93" s="1008"/>
      <c r="AK93" s="1008"/>
      <c r="AL93" s="1008"/>
      <c r="AM93" s="1008"/>
      <c r="AN93" s="1008"/>
      <c r="AO93" s="1008"/>
      <c r="AP93" s="1008"/>
      <c r="AQ93" s="1008"/>
      <c r="AR93" s="1008"/>
      <c r="AS93" s="1008"/>
      <c r="AT93" s="203"/>
      <c r="AU93" s="1011">
        <f t="shared" si="73"/>
        <v>0.77924000000000004</v>
      </c>
      <c r="AV93" s="1008">
        <f t="shared" si="74"/>
        <v>7792400</v>
      </c>
      <c r="AW93" s="1008"/>
      <c r="AX93" s="1008"/>
      <c r="AY93" s="1008"/>
      <c r="AZ93" s="1008"/>
      <c r="BA93" s="1008"/>
      <c r="BB93" s="1008">
        <f>+'[18]OCTUBRE 2015'!$O$4180</f>
        <v>7792400</v>
      </c>
      <c r="BC93" s="1008"/>
      <c r="BD93" s="1008"/>
      <c r="BE93" s="1008"/>
      <c r="BF93" s="1008"/>
      <c r="BG93" s="1008"/>
      <c r="BH93" s="1008"/>
      <c r="BI93" s="1008"/>
      <c r="BJ93" s="1008"/>
      <c r="BK93" s="1008"/>
      <c r="BL93" s="1008"/>
      <c r="BM93" s="1008"/>
      <c r="BN93" s="1008"/>
      <c r="BO93" s="1008"/>
      <c r="BP93" s="1008"/>
      <c r="BQ93" s="1011">
        <f t="shared" si="94"/>
        <v>0.22075999999999996</v>
      </c>
      <c r="BR93" s="1008">
        <f t="shared" si="75"/>
        <v>2207600</v>
      </c>
      <c r="BS93" s="1008">
        <f t="shared" si="76"/>
        <v>0</v>
      </c>
      <c r="BT93" s="1008">
        <f t="shared" si="77"/>
        <v>0</v>
      </c>
      <c r="BU93" s="1008"/>
      <c r="BV93" s="1008">
        <f t="shared" si="78"/>
        <v>0</v>
      </c>
      <c r="BW93" s="1008"/>
      <c r="BX93" s="1008">
        <f t="shared" si="79"/>
        <v>2207600</v>
      </c>
      <c r="BY93" s="1008">
        <f t="shared" si="79"/>
        <v>0</v>
      </c>
      <c r="BZ93" s="1008"/>
      <c r="CA93" s="1008">
        <f t="shared" si="92"/>
        <v>0</v>
      </c>
      <c r="CB93" s="1008">
        <f t="shared" si="92"/>
        <v>0</v>
      </c>
      <c r="CC93" s="1008"/>
      <c r="CD93" s="1008">
        <f t="shared" si="93"/>
        <v>0</v>
      </c>
      <c r="CE93" s="1008">
        <f t="shared" si="93"/>
        <v>0</v>
      </c>
      <c r="CF93" s="1008">
        <f t="shared" si="93"/>
        <v>0</v>
      </c>
      <c r="CG93" s="1008">
        <f t="shared" si="93"/>
        <v>0</v>
      </c>
      <c r="CH93" s="1008">
        <f t="shared" si="93"/>
        <v>0</v>
      </c>
      <c r="CI93" s="1008">
        <f t="shared" si="93"/>
        <v>0</v>
      </c>
      <c r="CJ93" s="1008"/>
      <c r="CK93" s="1008"/>
      <c r="CL93" s="1008">
        <f t="shared" si="81"/>
        <v>0</v>
      </c>
      <c r="CM93" s="1011">
        <f t="shared" si="82"/>
        <v>0.77924000000000004</v>
      </c>
      <c r="CN93" s="1008">
        <f t="shared" si="83"/>
        <v>7792400</v>
      </c>
      <c r="CO93" s="1008"/>
      <c r="CP93" s="1008"/>
      <c r="CQ93" s="1008"/>
      <c r="CR93" s="1008"/>
      <c r="CS93" s="1008"/>
      <c r="CT93" s="1008">
        <f>+'[15]JULIO 2015'!$H$2656</f>
        <v>7792400</v>
      </c>
      <c r="CU93" s="1008"/>
      <c r="CV93" s="1008"/>
      <c r="CW93" s="1008"/>
      <c r="CX93" s="1008"/>
      <c r="CY93" s="1008"/>
      <c r="CZ93" s="1008"/>
      <c r="DA93" s="1008"/>
      <c r="DB93" s="1008"/>
      <c r="DC93" s="1008"/>
      <c r="DD93" s="1008"/>
      <c r="DE93" s="1008"/>
      <c r="DF93" s="1008"/>
      <c r="DG93" s="1008"/>
      <c r="DH93" s="1008"/>
      <c r="DI93" s="1011">
        <f t="shared" si="84"/>
        <v>0.22075999999999996</v>
      </c>
      <c r="DJ93" s="1008">
        <f t="shared" si="85"/>
        <v>2207600</v>
      </c>
      <c r="DK93" s="1008"/>
      <c r="DL93" s="1008"/>
      <c r="DM93" s="1008"/>
      <c r="DN93" s="1008">
        <f t="shared" si="86"/>
        <v>0</v>
      </c>
      <c r="DO93" s="1008"/>
      <c r="DP93" s="1008">
        <f t="shared" si="87"/>
        <v>2207600</v>
      </c>
      <c r="DQ93" s="1008">
        <f t="shared" si="87"/>
        <v>0</v>
      </c>
      <c r="DR93" s="1008"/>
      <c r="DS93" s="1008">
        <f t="shared" si="88"/>
        <v>0</v>
      </c>
      <c r="DT93" s="1008">
        <f t="shared" si="88"/>
        <v>0</v>
      </c>
      <c r="DU93" s="1008"/>
      <c r="DV93" s="1008">
        <f t="shared" si="89"/>
        <v>0</v>
      </c>
      <c r="DW93" s="1008">
        <f t="shared" si="89"/>
        <v>0</v>
      </c>
      <c r="DX93" s="1008">
        <f t="shared" si="89"/>
        <v>0</v>
      </c>
      <c r="DY93" s="1008">
        <f t="shared" si="90"/>
        <v>0</v>
      </c>
      <c r="DZ93" s="1008">
        <f t="shared" si="90"/>
        <v>0</v>
      </c>
      <c r="EA93" s="1008">
        <f t="shared" si="90"/>
        <v>0</v>
      </c>
      <c r="EB93" s="1008">
        <f t="shared" si="90"/>
        <v>0</v>
      </c>
      <c r="EC93" s="1008"/>
      <c r="ED93" s="1008">
        <f t="shared" si="91"/>
        <v>0</v>
      </c>
    </row>
    <row r="94" spans="1:134" ht="29.25" hidden="1" customHeight="1" x14ac:dyDescent="0.25">
      <c r="A94" s="1565"/>
      <c r="B94" s="1019"/>
      <c r="C94" s="1116" t="s">
        <v>4431</v>
      </c>
      <c r="D94" s="1019" t="s">
        <v>4623</v>
      </c>
      <c r="E94" s="1020">
        <v>520</v>
      </c>
      <c r="F94" s="1120" t="s">
        <v>3350</v>
      </c>
      <c r="G94" s="1401"/>
      <c r="H94" s="1061">
        <f t="shared" si="70"/>
        <v>0</v>
      </c>
      <c r="I94" s="1061">
        <f t="shared" si="71"/>
        <v>10000000</v>
      </c>
      <c r="J94" s="1120" t="s">
        <v>4885</v>
      </c>
      <c r="K94" s="1115" t="s">
        <v>4826</v>
      </c>
      <c r="L94" s="1115" t="s">
        <v>4826</v>
      </c>
      <c r="M94" s="1115">
        <v>0</v>
      </c>
      <c r="N94" s="1115">
        <v>0</v>
      </c>
      <c r="O94" s="1115">
        <v>0</v>
      </c>
      <c r="P94" s="1115">
        <v>0</v>
      </c>
      <c r="Q94" s="1115">
        <v>0</v>
      </c>
      <c r="R94" s="1115">
        <v>0</v>
      </c>
      <c r="S94" s="1120"/>
      <c r="T94" s="1120"/>
      <c r="U94" s="1120"/>
      <c r="V94" s="1120"/>
      <c r="W94" s="1120"/>
      <c r="X94" s="1120"/>
      <c r="Y94" s="1008">
        <f t="shared" si="72"/>
        <v>10000000</v>
      </c>
      <c r="Z94" s="944"/>
      <c r="AA94" s="944"/>
      <c r="AB94" s="944"/>
      <c r="AC94" s="944"/>
      <c r="AD94" s="944"/>
      <c r="AE94" s="1008">
        <v>10000000</v>
      </c>
      <c r="AF94" s="944"/>
      <c r="AG94" s="944"/>
      <c r="AH94" s="944"/>
      <c r="AI94" s="944"/>
      <c r="AJ94" s="944"/>
      <c r="AK94" s="149"/>
      <c r="AL94" s="944"/>
      <c r="AM94" s="944"/>
      <c r="AN94" s="944"/>
      <c r="AO94" s="944"/>
      <c r="AP94" s="944"/>
      <c r="AQ94" s="944"/>
      <c r="AR94" s="944"/>
      <c r="AS94" s="985"/>
      <c r="AT94" s="203"/>
      <c r="AU94" s="1011">
        <f t="shared" si="73"/>
        <v>0</v>
      </c>
      <c r="AV94" s="1008">
        <f t="shared" si="74"/>
        <v>0</v>
      </c>
      <c r="AW94" s="1008"/>
      <c r="AX94" s="1008"/>
      <c r="AY94" s="1008"/>
      <c r="AZ94" s="1008"/>
      <c r="BA94" s="1008"/>
      <c r="BB94" s="1008"/>
      <c r="BC94" s="1008"/>
      <c r="BD94" s="1008"/>
      <c r="BE94" s="1008"/>
      <c r="BF94" s="1008"/>
      <c r="BG94" s="1008"/>
      <c r="BH94" s="1008"/>
      <c r="BI94" s="1008"/>
      <c r="BJ94" s="1008"/>
      <c r="BK94" s="1008"/>
      <c r="BL94" s="1008"/>
      <c r="BM94" s="1008"/>
      <c r="BN94" s="1008"/>
      <c r="BO94" s="1008"/>
      <c r="BP94" s="1008"/>
      <c r="BQ94" s="1011">
        <f t="shared" si="94"/>
        <v>1</v>
      </c>
      <c r="BR94" s="1008">
        <f t="shared" si="75"/>
        <v>10000000</v>
      </c>
      <c r="BS94" s="1008">
        <f t="shared" si="76"/>
        <v>0</v>
      </c>
      <c r="BT94" s="1008">
        <f t="shared" si="77"/>
        <v>0</v>
      </c>
      <c r="BU94" s="1008"/>
      <c r="BV94" s="1008">
        <f t="shared" si="78"/>
        <v>0</v>
      </c>
      <c r="BW94" s="1008"/>
      <c r="BX94" s="1008">
        <f t="shared" si="79"/>
        <v>10000000</v>
      </c>
      <c r="BY94" s="1008">
        <f t="shared" si="79"/>
        <v>0</v>
      </c>
      <c r="BZ94" s="1008"/>
      <c r="CA94" s="1008">
        <f t="shared" si="92"/>
        <v>0</v>
      </c>
      <c r="CB94" s="1008">
        <f t="shared" si="92"/>
        <v>0</v>
      </c>
      <c r="CC94" s="1008"/>
      <c r="CD94" s="1008">
        <f t="shared" si="93"/>
        <v>0</v>
      </c>
      <c r="CE94" s="1008">
        <f t="shared" si="93"/>
        <v>0</v>
      </c>
      <c r="CF94" s="1008">
        <f t="shared" si="93"/>
        <v>0</v>
      </c>
      <c r="CG94" s="1008">
        <f t="shared" si="93"/>
        <v>0</v>
      </c>
      <c r="CH94" s="1008">
        <f t="shared" si="93"/>
        <v>0</v>
      </c>
      <c r="CI94" s="1008">
        <f t="shared" si="93"/>
        <v>0</v>
      </c>
      <c r="CJ94" s="1008"/>
      <c r="CK94" s="1008"/>
      <c r="CL94" s="1008">
        <f t="shared" si="81"/>
        <v>0</v>
      </c>
      <c r="CM94" s="1011">
        <f t="shared" si="82"/>
        <v>0</v>
      </c>
      <c r="CN94" s="1008">
        <f t="shared" si="83"/>
        <v>0</v>
      </c>
      <c r="CO94" s="1008"/>
      <c r="CP94" s="1008"/>
      <c r="CQ94" s="1008"/>
      <c r="CR94" s="1008"/>
      <c r="CS94" s="1008"/>
      <c r="CT94" s="1008"/>
      <c r="CU94" s="1008"/>
      <c r="CV94" s="1008"/>
      <c r="CW94" s="1008"/>
      <c r="CX94" s="1008"/>
      <c r="CY94" s="1008"/>
      <c r="CZ94" s="1008"/>
      <c r="DA94" s="1008"/>
      <c r="DB94" s="1008"/>
      <c r="DC94" s="1008"/>
      <c r="DD94" s="1008"/>
      <c r="DE94" s="1008"/>
      <c r="DF94" s="1008"/>
      <c r="DG94" s="1008"/>
      <c r="DH94" s="1008"/>
      <c r="DI94" s="1011">
        <f t="shared" si="84"/>
        <v>1</v>
      </c>
      <c r="DJ94" s="1008">
        <f t="shared" si="85"/>
        <v>10000000</v>
      </c>
      <c r="DK94" s="1008"/>
      <c r="DL94" s="1008"/>
      <c r="DM94" s="1008"/>
      <c r="DN94" s="1008">
        <f t="shared" si="86"/>
        <v>0</v>
      </c>
      <c r="DO94" s="1008"/>
      <c r="DP94" s="1008">
        <f t="shared" si="87"/>
        <v>10000000</v>
      </c>
      <c r="DQ94" s="1008">
        <f t="shared" si="87"/>
        <v>0</v>
      </c>
      <c r="DR94" s="1008"/>
      <c r="DS94" s="1008">
        <f t="shared" si="88"/>
        <v>0</v>
      </c>
      <c r="DT94" s="1008">
        <f t="shared" si="88"/>
        <v>0</v>
      </c>
      <c r="DU94" s="1008"/>
      <c r="DV94" s="1008">
        <f t="shared" si="89"/>
        <v>0</v>
      </c>
      <c r="DW94" s="1008">
        <f t="shared" si="89"/>
        <v>0</v>
      </c>
      <c r="DX94" s="1008">
        <f t="shared" si="89"/>
        <v>0</v>
      </c>
      <c r="DY94" s="1008">
        <f t="shared" si="90"/>
        <v>0</v>
      </c>
      <c r="DZ94" s="1008">
        <f t="shared" si="90"/>
        <v>0</v>
      </c>
      <c r="EA94" s="1008">
        <f t="shared" si="90"/>
        <v>0</v>
      </c>
      <c r="EB94" s="1008">
        <f t="shared" si="90"/>
        <v>0</v>
      </c>
      <c r="EC94" s="1008"/>
      <c r="ED94" s="1008">
        <f t="shared" si="91"/>
        <v>0</v>
      </c>
    </row>
    <row r="95" spans="1:134" ht="33.75" hidden="1" customHeight="1" x14ac:dyDescent="0.25">
      <c r="A95" s="1565"/>
      <c r="B95" s="1019" t="s">
        <v>4362</v>
      </c>
      <c r="C95" s="1116" t="s">
        <v>4432</v>
      </c>
      <c r="D95" s="1019" t="s">
        <v>4624</v>
      </c>
      <c r="E95" s="1020">
        <v>520</v>
      </c>
      <c r="F95" s="1120" t="s">
        <v>3350</v>
      </c>
      <c r="G95" s="1399">
        <v>150000000</v>
      </c>
      <c r="H95" s="1061">
        <f t="shared" si="70"/>
        <v>2200000</v>
      </c>
      <c r="I95" s="1061">
        <f t="shared" si="71"/>
        <v>12800000</v>
      </c>
      <c r="J95" s="1120" t="s">
        <v>4887</v>
      </c>
      <c r="K95" s="1115" t="s">
        <v>4889</v>
      </c>
      <c r="L95" s="1115" t="s">
        <v>4892</v>
      </c>
      <c r="M95" s="1115">
        <v>0</v>
      </c>
      <c r="N95" s="1115">
        <v>0</v>
      </c>
      <c r="O95" s="1115">
        <v>0</v>
      </c>
      <c r="P95" s="1115">
        <v>0</v>
      </c>
      <c r="Q95" s="1115">
        <v>0</v>
      </c>
      <c r="R95" s="1115">
        <v>0</v>
      </c>
      <c r="S95" s="1120"/>
      <c r="T95" s="1120"/>
      <c r="U95" s="1120"/>
      <c r="V95" s="1120"/>
      <c r="W95" s="1120"/>
      <c r="X95" s="1120"/>
      <c r="Y95" s="1008">
        <f t="shared" si="72"/>
        <v>15000000</v>
      </c>
      <c r="Z95" s="944"/>
      <c r="AA95" s="944">
        <f>15000000-15000000</f>
        <v>0</v>
      </c>
      <c r="AB95" s="944"/>
      <c r="AC95" s="944"/>
      <c r="AD95" s="944"/>
      <c r="AE95" s="1017">
        <f>15000000</f>
        <v>15000000</v>
      </c>
      <c r="AF95" s="944"/>
      <c r="AG95" s="944"/>
      <c r="AH95" s="944"/>
      <c r="AI95" s="944"/>
      <c r="AJ95" s="944"/>
      <c r="AK95" s="149"/>
      <c r="AL95" s="944"/>
      <c r="AM95" s="944"/>
      <c r="AN95" s="944"/>
      <c r="AO95" s="944"/>
      <c r="AP95" s="944"/>
      <c r="AQ95" s="944"/>
      <c r="AR95" s="944"/>
      <c r="AS95" s="985"/>
      <c r="AT95" s="203"/>
      <c r="AU95" s="1011">
        <f t="shared" si="73"/>
        <v>1</v>
      </c>
      <c r="AV95" s="1008">
        <f t="shared" si="74"/>
        <v>15000000</v>
      </c>
      <c r="AW95" s="1008"/>
      <c r="AX95" s="1008"/>
      <c r="AY95" s="1008"/>
      <c r="AZ95" s="1008"/>
      <c r="BA95" s="1008"/>
      <c r="BB95" s="1008">
        <f>+'[8]FEBRERO 2015'!$N$1280</f>
        <v>15000000</v>
      </c>
      <c r="BC95" s="1008"/>
      <c r="BD95" s="1008"/>
      <c r="BE95" s="1008"/>
      <c r="BF95" s="1008"/>
      <c r="BG95" s="1008"/>
      <c r="BH95" s="1008"/>
      <c r="BI95" s="1008"/>
      <c r="BJ95" s="1008"/>
      <c r="BK95" s="1008"/>
      <c r="BL95" s="1008"/>
      <c r="BM95" s="1008"/>
      <c r="BN95" s="1008"/>
      <c r="BO95" s="1008"/>
      <c r="BP95" s="1008"/>
      <c r="BQ95" s="1011">
        <f t="shared" si="94"/>
        <v>0</v>
      </c>
      <c r="BR95" s="1008">
        <f t="shared" si="75"/>
        <v>0</v>
      </c>
      <c r="BS95" s="1008">
        <f t="shared" si="76"/>
        <v>0</v>
      </c>
      <c r="BT95" s="1008">
        <f t="shared" si="77"/>
        <v>0</v>
      </c>
      <c r="BU95" s="1008"/>
      <c r="BV95" s="1008">
        <f t="shared" si="78"/>
        <v>0</v>
      </c>
      <c r="BW95" s="1008"/>
      <c r="BX95" s="1008">
        <f t="shared" si="79"/>
        <v>0</v>
      </c>
      <c r="BY95" s="1008">
        <f t="shared" si="79"/>
        <v>0</v>
      </c>
      <c r="BZ95" s="1008"/>
      <c r="CA95" s="1008">
        <f t="shared" si="92"/>
        <v>0</v>
      </c>
      <c r="CB95" s="1008">
        <f t="shared" si="92"/>
        <v>0</v>
      </c>
      <c r="CC95" s="1008"/>
      <c r="CD95" s="1008">
        <f t="shared" si="93"/>
        <v>0</v>
      </c>
      <c r="CE95" s="1008">
        <f t="shared" si="93"/>
        <v>0</v>
      </c>
      <c r="CF95" s="1008">
        <f t="shared" si="93"/>
        <v>0</v>
      </c>
      <c r="CG95" s="1008">
        <f t="shared" si="93"/>
        <v>0</v>
      </c>
      <c r="CH95" s="1008">
        <f t="shared" si="93"/>
        <v>0</v>
      </c>
      <c r="CI95" s="1008">
        <f t="shared" si="93"/>
        <v>0</v>
      </c>
      <c r="CJ95" s="1008"/>
      <c r="CK95" s="1008"/>
      <c r="CL95" s="1008">
        <f t="shared" si="81"/>
        <v>0</v>
      </c>
      <c r="CM95" s="1011">
        <f t="shared" si="82"/>
        <v>0.14666666666666667</v>
      </c>
      <c r="CN95" s="1008">
        <f t="shared" si="83"/>
        <v>2200000</v>
      </c>
      <c r="CO95" s="1008"/>
      <c r="CP95" s="1008"/>
      <c r="CQ95" s="1008"/>
      <c r="CR95" s="1008"/>
      <c r="CS95" s="1008"/>
      <c r="CT95" s="1008">
        <f>+'[18]OCTUBRE 2015'!$H$4191</f>
        <v>2200000</v>
      </c>
      <c r="CU95" s="1008"/>
      <c r="CV95" s="1008"/>
      <c r="CW95" s="1008"/>
      <c r="CX95" s="1008"/>
      <c r="CY95" s="1008"/>
      <c r="CZ95" s="1008"/>
      <c r="DA95" s="1008"/>
      <c r="DB95" s="1008"/>
      <c r="DC95" s="1008"/>
      <c r="DD95" s="1008"/>
      <c r="DE95" s="1008"/>
      <c r="DF95" s="1008"/>
      <c r="DG95" s="1008"/>
      <c r="DH95" s="1008"/>
      <c r="DI95" s="1011">
        <f t="shared" si="84"/>
        <v>0.85333333333333328</v>
      </c>
      <c r="DJ95" s="1008">
        <f t="shared" si="85"/>
        <v>12800000</v>
      </c>
      <c r="DK95" s="1008"/>
      <c r="DL95" s="1008">
        <f>AA95-CP95</f>
        <v>0</v>
      </c>
      <c r="DM95" s="1008">
        <f>AB95-CQ95</f>
        <v>0</v>
      </c>
      <c r="DN95" s="1008">
        <f t="shared" si="86"/>
        <v>0</v>
      </c>
      <c r="DO95" s="1008"/>
      <c r="DP95" s="1008">
        <f t="shared" si="87"/>
        <v>12800000</v>
      </c>
      <c r="DQ95" s="1008">
        <f t="shared" si="87"/>
        <v>0</v>
      </c>
      <c r="DR95" s="1008"/>
      <c r="DS95" s="1008">
        <f t="shared" si="88"/>
        <v>0</v>
      </c>
      <c r="DT95" s="1008">
        <f t="shared" si="88"/>
        <v>0</v>
      </c>
      <c r="DU95" s="1008"/>
      <c r="DV95" s="1008">
        <f t="shared" si="89"/>
        <v>0</v>
      </c>
      <c r="DW95" s="1008">
        <f t="shared" si="89"/>
        <v>0</v>
      </c>
      <c r="DX95" s="1008">
        <f t="shared" si="89"/>
        <v>0</v>
      </c>
      <c r="DY95" s="1008">
        <f t="shared" si="90"/>
        <v>0</v>
      </c>
      <c r="DZ95" s="1008">
        <f t="shared" si="90"/>
        <v>0</v>
      </c>
      <c r="EA95" s="1008">
        <f t="shared" si="90"/>
        <v>0</v>
      </c>
      <c r="EB95" s="1008">
        <f t="shared" si="90"/>
        <v>0</v>
      </c>
      <c r="EC95" s="1008"/>
      <c r="ED95" s="1008">
        <f t="shared" si="91"/>
        <v>0</v>
      </c>
    </row>
    <row r="96" spans="1:134" ht="48" hidden="1" customHeight="1" x14ac:dyDescent="0.25">
      <c r="A96" s="1565"/>
      <c r="B96" s="1019"/>
      <c r="C96" s="1116" t="s">
        <v>4433</v>
      </c>
      <c r="D96" s="1019" t="s">
        <v>4625</v>
      </c>
      <c r="E96" s="1020">
        <v>520</v>
      </c>
      <c r="F96" s="1120" t="s">
        <v>3350</v>
      </c>
      <c r="G96" s="1400"/>
      <c r="H96" s="1061">
        <f t="shared" si="70"/>
        <v>21818596</v>
      </c>
      <c r="I96" s="1061">
        <f t="shared" si="71"/>
        <v>8181404</v>
      </c>
      <c r="J96" s="1120" t="s">
        <v>4888</v>
      </c>
      <c r="K96" s="1115" t="s">
        <v>4890</v>
      </c>
      <c r="L96" s="1115" t="s">
        <v>4893</v>
      </c>
      <c r="M96" s="1115">
        <v>0</v>
      </c>
      <c r="N96" s="1115">
        <v>0</v>
      </c>
      <c r="O96" s="1115">
        <v>0</v>
      </c>
      <c r="P96" s="1115">
        <v>45</v>
      </c>
      <c r="Q96" s="1115">
        <v>0</v>
      </c>
      <c r="R96" s="1115">
        <v>0</v>
      </c>
      <c r="S96" s="1120"/>
      <c r="T96" s="1120"/>
      <c r="U96" s="1120"/>
      <c r="V96" s="1120"/>
      <c r="W96" s="1120"/>
      <c r="X96" s="1120"/>
      <c r="Y96" s="1008">
        <f t="shared" si="72"/>
        <v>30000000</v>
      </c>
      <c r="Z96" s="944"/>
      <c r="AA96" s="944">
        <f>30000000-30000000</f>
        <v>0</v>
      </c>
      <c r="AB96" s="944"/>
      <c r="AC96" s="944"/>
      <c r="AD96" s="944"/>
      <c r="AE96" s="1017">
        <v>30000000</v>
      </c>
      <c r="AF96" s="944"/>
      <c r="AG96" s="944"/>
      <c r="AH96" s="944"/>
      <c r="AI96" s="944"/>
      <c r="AJ96" s="944"/>
      <c r="AK96" s="149"/>
      <c r="AL96" s="944"/>
      <c r="AM96" s="944"/>
      <c r="AN96" s="944"/>
      <c r="AO96" s="944"/>
      <c r="AP96" s="944"/>
      <c r="AQ96" s="944"/>
      <c r="AR96" s="944"/>
      <c r="AS96" s="985"/>
      <c r="AT96" s="203"/>
      <c r="AU96" s="1011">
        <f t="shared" si="73"/>
        <v>1</v>
      </c>
      <c r="AV96" s="1008">
        <f t="shared" si="74"/>
        <v>30000000</v>
      </c>
      <c r="AW96" s="1008"/>
      <c r="AX96" s="1008"/>
      <c r="AY96" s="1008"/>
      <c r="AZ96" s="1008"/>
      <c r="BA96" s="1008"/>
      <c r="BB96" s="1008">
        <f>+'[8]FEBRERO 2015'!$N$1285</f>
        <v>30000000</v>
      </c>
      <c r="BC96" s="1008"/>
      <c r="BD96" s="1008"/>
      <c r="BE96" s="1008"/>
      <c r="BF96" s="1008"/>
      <c r="BG96" s="1008"/>
      <c r="BH96" s="1008"/>
      <c r="BI96" s="1008"/>
      <c r="BJ96" s="1008"/>
      <c r="BK96" s="1008"/>
      <c r="BL96" s="1008"/>
      <c r="BM96" s="1008"/>
      <c r="BN96" s="1008"/>
      <c r="BO96" s="1008"/>
      <c r="BP96" s="1008"/>
      <c r="BQ96" s="1011">
        <f t="shared" si="94"/>
        <v>0</v>
      </c>
      <c r="BR96" s="1008">
        <f t="shared" si="75"/>
        <v>0</v>
      </c>
      <c r="BS96" s="1008">
        <f t="shared" si="76"/>
        <v>0</v>
      </c>
      <c r="BT96" s="1008">
        <f t="shared" si="77"/>
        <v>0</v>
      </c>
      <c r="BU96" s="1008"/>
      <c r="BV96" s="1008">
        <f t="shared" si="78"/>
        <v>0</v>
      </c>
      <c r="BW96" s="1008"/>
      <c r="BX96" s="1008">
        <f t="shared" si="79"/>
        <v>0</v>
      </c>
      <c r="BY96" s="1008">
        <f t="shared" si="79"/>
        <v>0</v>
      </c>
      <c r="BZ96" s="1008"/>
      <c r="CA96" s="1008">
        <f t="shared" si="92"/>
        <v>0</v>
      </c>
      <c r="CB96" s="1008">
        <f t="shared" si="92"/>
        <v>0</v>
      </c>
      <c r="CC96" s="1008"/>
      <c r="CD96" s="1008">
        <f t="shared" si="93"/>
        <v>0</v>
      </c>
      <c r="CE96" s="1008">
        <f t="shared" si="93"/>
        <v>0</v>
      </c>
      <c r="CF96" s="1008">
        <f t="shared" si="93"/>
        <v>0</v>
      </c>
      <c r="CG96" s="1008">
        <f t="shared" si="93"/>
        <v>0</v>
      </c>
      <c r="CH96" s="1008">
        <f t="shared" si="93"/>
        <v>0</v>
      </c>
      <c r="CI96" s="1008">
        <f t="shared" si="93"/>
        <v>0</v>
      </c>
      <c r="CJ96" s="1008"/>
      <c r="CK96" s="1008"/>
      <c r="CL96" s="1008">
        <f t="shared" si="81"/>
        <v>0</v>
      </c>
      <c r="CM96" s="1011">
        <f t="shared" si="82"/>
        <v>0.72728653333333337</v>
      </c>
      <c r="CN96" s="1008">
        <f t="shared" si="83"/>
        <v>21818596</v>
      </c>
      <c r="CO96" s="1008"/>
      <c r="CP96" s="1008"/>
      <c r="CQ96" s="1008"/>
      <c r="CR96" s="1008"/>
      <c r="CS96" s="1008"/>
      <c r="CT96" s="1008">
        <f>+'[17]SEPTIEMBRE 2015'!$H$3692</f>
        <v>21818596</v>
      </c>
      <c r="CU96" s="1008"/>
      <c r="CV96" s="1008"/>
      <c r="CW96" s="1008"/>
      <c r="CX96" s="1008"/>
      <c r="CY96" s="1008"/>
      <c r="CZ96" s="1008"/>
      <c r="DA96" s="1008"/>
      <c r="DB96" s="1008"/>
      <c r="DC96" s="1008"/>
      <c r="DD96" s="1008"/>
      <c r="DE96" s="1008"/>
      <c r="DF96" s="1008"/>
      <c r="DG96" s="1008"/>
      <c r="DH96" s="1008"/>
      <c r="DI96" s="1011">
        <f t="shared" si="84"/>
        <v>0.27271346666666663</v>
      </c>
      <c r="DJ96" s="1008">
        <f t="shared" si="85"/>
        <v>8181404</v>
      </c>
      <c r="DK96" s="1008"/>
      <c r="DL96" s="1008">
        <f>AA96-CP96</f>
        <v>0</v>
      </c>
      <c r="DM96" s="1008">
        <f>AB96-CQ96</f>
        <v>0</v>
      </c>
      <c r="DN96" s="1008">
        <f t="shared" si="86"/>
        <v>0</v>
      </c>
      <c r="DO96" s="1008"/>
      <c r="DP96" s="1008">
        <f t="shared" si="87"/>
        <v>8181404</v>
      </c>
      <c r="DQ96" s="1008">
        <f t="shared" si="87"/>
        <v>0</v>
      </c>
      <c r="DR96" s="1008"/>
      <c r="DS96" s="1008">
        <f t="shared" si="88"/>
        <v>0</v>
      </c>
      <c r="DT96" s="1008">
        <f t="shared" si="88"/>
        <v>0</v>
      </c>
      <c r="DU96" s="1008"/>
      <c r="DV96" s="1008">
        <f t="shared" si="89"/>
        <v>0</v>
      </c>
      <c r="DW96" s="1008">
        <f t="shared" si="89"/>
        <v>0</v>
      </c>
      <c r="DX96" s="1008">
        <f t="shared" si="89"/>
        <v>0</v>
      </c>
      <c r="DY96" s="1008">
        <f t="shared" si="90"/>
        <v>0</v>
      </c>
      <c r="DZ96" s="1008">
        <f t="shared" si="90"/>
        <v>0</v>
      </c>
      <c r="EA96" s="1008">
        <f t="shared" si="90"/>
        <v>0</v>
      </c>
      <c r="EB96" s="1008">
        <f t="shared" si="90"/>
        <v>0</v>
      </c>
      <c r="EC96" s="1008"/>
      <c r="ED96" s="1008">
        <f t="shared" si="91"/>
        <v>0</v>
      </c>
    </row>
    <row r="97" spans="1:134" ht="34.5" hidden="1" customHeight="1" x14ac:dyDescent="0.25">
      <c r="A97" s="1565"/>
      <c r="B97" s="1019"/>
      <c r="C97" s="1116" t="s">
        <v>4434</v>
      </c>
      <c r="D97" s="1019" t="s">
        <v>4626</v>
      </c>
      <c r="E97" s="1020">
        <v>520</v>
      </c>
      <c r="F97" s="1120" t="s">
        <v>3350</v>
      </c>
      <c r="G97" s="1400"/>
      <c r="H97" s="1061">
        <f t="shared" si="70"/>
        <v>0</v>
      </c>
      <c r="I97" s="1061">
        <f t="shared" si="71"/>
        <v>20000000</v>
      </c>
      <c r="J97" s="1399" t="s">
        <v>4885</v>
      </c>
      <c r="K97" s="1283" t="s">
        <v>4891</v>
      </c>
      <c r="L97" s="1283" t="s">
        <v>4894</v>
      </c>
      <c r="M97" s="1115">
        <v>0</v>
      </c>
      <c r="N97" s="1115">
        <v>0</v>
      </c>
      <c r="O97" s="1115">
        <v>0</v>
      </c>
      <c r="P97" s="1115">
        <v>0</v>
      </c>
      <c r="Q97" s="1115">
        <v>0</v>
      </c>
      <c r="R97" s="1115">
        <v>0</v>
      </c>
      <c r="S97" s="1120"/>
      <c r="T97" s="1120"/>
      <c r="U97" s="1120"/>
      <c r="V97" s="1120"/>
      <c r="W97" s="1120"/>
      <c r="X97" s="1120"/>
      <c r="Y97" s="1008">
        <f t="shared" si="72"/>
        <v>20000000</v>
      </c>
      <c r="Z97" s="944"/>
      <c r="AA97" s="944"/>
      <c r="AB97" s="944"/>
      <c r="AC97" s="944"/>
      <c r="AD97" s="944"/>
      <c r="AE97" s="1008">
        <f>50000000-30000000</f>
        <v>20000000</v>
      </c>
      <c r="AF97" s="944"/>
      <c r="AG97" s="944"/>
      <c r="AH97" s="944"/>
      <c r="AI97" s="944"/>
      <c r="AJ97" s="944"/>
      <c r="AK97" s="149"/>
      <c r="AL97" s="944"/>
      <c r="AM97" s="944"/>
      <c r="AN97" s="944"/>
      <c r="AO97" s="944"/>
      <c r="AP97" s="944"/>
      <c r="AQ97" s="944"/>
      <c r="AR97" s="944"/>
      <c r="AS97" s="985"/>
      <c r="AT97" s="203"/>
      <c r="AU97" s="1011">
        <f t="shared" si="73"/>
        <v>1</v>
      </c>
      <c r="AV97" s="1008">
        <f t="shared" si="74"/>
        <v>20000000</v>
      </c>
      <c r="AW97" s="1008"/>
      <c r="AX97" s="1008"/>
      <c r="AY97" s="1008"/>
      <c r="AZ97" s="1008"/>
      <c r="BA97" s="1008"/>
      <c r="BB97" s="1008">
        <f>+'[9]FEBRERO 2015'!$N$1216-30000000</f>
        <v>20000000</v>
      </c>
      <c r="BC97" s="1008"/>
      <c r="BD97" s="1008"/>
      <c r="BE97" s="1008"/>
      <c r="BF97" s="1008"/>
      <c r="BG97" s="1008"/>
      <c r="BH97" s="1008"/>
      <c r="BI97" s="1008"/>
      <c r="BJ97" s="1008"/>
      <c r="BK97" s="1008"/>
      <c r="BL97" s="1008"/>
      <c r="BM97" s="1008"/>
      <c r="BN97" s="1008"/>
      <c r="BO97" s="1008"/>
      <c r="BP97" s="1008"/>
      <c r="BQ97" s="1011">
        <f t="shared" si="94"/>
        <v>0</v>
      </c>
      <c r="BR97" s="1008">
        <f t="shared" si="75"/>
        <v>0</v>
      </c>
      <c r="BS97" s="1008">
        <f t="shared" si="76"/>
        <v>0</v>
      </c>
      <c r="BT97" s="1008">
        <f t="shared" si="77"/>
        <v>0</v>
      </c>
      <c r="BU97" s="1008"/>
      <c r="BV97" s="1008">
        <f t="shared" si="78"/>
        <v>0</v>
      </c>
      <c r="BW97" s="1008"/>
      <c r="BX97" s="1008">
        <f t="shared" si="79"/>
        <v>0</v>
      </c>
      <c r="BY97" s="1008">
        <f t="shared" si="79"/>
        <v>0</v>
      </c>
      <c r="BZ97" s="1008"/>
      <c r="CA97" s="1008">
        <f t="shared" si="92"/>
        <v>0</v>
      </c>
      <c r="CB97" s="1008">
        <f t="shared" si="92"/>
        <v>0</v>
      </c>
      <c r="CC97" s="1008"/>
      <c r="CD97" s="1008">
        <f t="shared" si="93"/>
        <v>0</v>
      </c>
      <c r="CE97" s="1008">
        <f t="shared" si="93"/>
        <v>0</v>
      </c>
      <c r="CF97" s="1008">
        <f t="shared" si="93"/>
        <v>0</v>
      </c>
      <c r="CG97" s="1008">
        <f t="shared" si="93"/>
        <v>0</v>
      </c>
      <c r="CH97" s="1008">
        <f t="shared" si="93"/>
        <v>0</v>
      </c>
      <c r="CI97" s="1008">
        <f t="shared" si="93"/>
        <v>0</v>
      </c>
      <c r="CJ97" s="1008"/>
      <c r="CK97" s="1008"/>
      <c r="CL97" s="1008">
        <f t="shared" si="81"/>
        <v>0</v>
      </c>
      <c r="CM97" s="1011">
        <f t="shared" si="82"/>
        <v>0</v>
      </c>
      <c r="CN97" s="1008">
        <f t="shared" si="83"/>
        <v>0</v>
      </c>
      <c r="CO97" s="1008"/>
      <c r="CP97" s="1008"/>
      <c r="CQ97" s="1008"/>
      <c r="CR97" s="1008"/>
      <c r="CS97" s="1008"/>
      <c r="CT97" s="1008"/>
      <c r="CU97" s="1008"/>
      <c r="CV97" s="1008"/>
      <c r="CW97" s="1008"/>
      <c r="CX97" s="1008"/>
      <c r="CY97" s="1008"/>
      <c r="CZ97" s="1008"/>
      <c r="DA97" s="1008"/>
      <c r="DB97" s="1008"/>
      <c r="DC97" s="1008"/>
      <c r="DD97" s="1008"/>
      <c r="DE97" s="1008"/>
      <c r="DF97" s="1008"/>
      <c r="DG97" s="1008"/>
      <c r="DH97" s="1008"/>
      <c r="DI97" s="1011">
        <f t="shared" si="84"/>
        <v>1</v>
      </c>
      <c r="DJ97" s="1008">
        <f t="shared" si="85"/>
        <v>20000000</v>
      </c>
      <c r="DK97" s="1008"/>
      <c r="DL97" s="1008"/>
      <c r="DM97" s="1008"/>
      <c r="DN97" s="1008">
        <f t="shared" si="86"/>
        <v>0</v>
      </c>
      <c r="DO97" s="1008"/>
      <c r="DP97" s="1008">
        <f t="shared" si="87"/>
        <v>20000000</v>
      </c>
      <c r="DQ97" s="1008">
        <f t="shared" si="87"/>
        <v>0</v>
      </c>
      <c r="DR97" s="1008"/>
      <c r="DS97" s="1008">
        <f t="shared" si="88"/>
        <v>0</v>
      </c>
      <c r="DT97" s="1008">
        <f t="shared" si="88"/>
        <v>0</v>
      </c>
      <c r="DU97" s="1008"/>
      <c r="DV97" s="1008">
        <f t="shared" si="89"/>
        <v>0</v>
      </c>
      <c r="DW97" s="1008">
        <f t="shared" si="89"/>
        <v>0</v>
      </c>
      <c r="DX97" s="1008">
        <f t="shared" si="89"/>
        <v>0</v>
      </c>
      <c r="DY97" s="1008">
        <f t="shared" si="90"/>
        <v>0</v>
      </c>
      <c r="DZ97" s="1008">
        <f t="shared" si="90"/>
        <v>0</v>
      </c>
      <c r="EA97" s="1008">
        <f t="shared" si="90"/>
        <v>0</v>
      </c>
      <c r="EB97" s="1008">
        <f t="shared" si="90"/>
        <v>0</v>
      </c>
      <c r="EC97" s="1008"/>
      <c r="ED97" s="1008">
        <f t="shared" si="91"/>
        <v>0</v>
      </c>
    </row>
    <row r="98" spans="1:134" ht="33.75" hidden="1" customHeight="1" x14ac:dyDescent="0.25">
      <c r="A98" s="1565"/>
      <c r="B98" s="1019"/>
      <c r="C98" s="1116" t="s">
        <v>4435</v>
      </c>
      <c r="D98" s="1019" t="s">
        <v>4627</v>
      </c>
      <c r="E98" s="1020">
        <v>520</v>
      </c>
      <c r="F98" s="1120" t="s">
        <v>3350</v>
      </c>
      <c r="G98" s="1401"/>
      <c r="H98" s="1061">
        <f t="shared" si="70"/>
        <v>646074</v>
      </c>
      <c r="I98" s="1061">
        <f t="shared" si="71"/>
        <v>24353926</v>
      </c>
      <c r="J98" s="1401"/>
      <c r="K98" s="1284"/>
      <c r="L98" s="1284"/>
      <c r="M98" s="1115">
        <v>0</v>
      </c>
      <c r="N98" s="1115">
        <v>0</v>
      </c>
      <c r="O98" s="1115">
        <v>0</v>
      </c>
      <c r="P98" s="1115">
        <v>0</v>
      </c>
      <c r="Q98" s="1115">
        <v>0</v>
      </c>
      <c r="R98" s="1115">
        <v>0</v>
      </c>
      <c r="S98" s="1120"/>
      <c r="T98" s="1120"/>
      <c r="U98" s="1120"/>
      <c r="V98" s="1120"/>
      <c r="W98" s="1120"/>
      <c r="X98" s="1120"/>
      <c r="Y98" s="1008">
        <f t="shared" si="72"/>
        <v>25000000</v>
      </c>
      <c r="Z98" s="944"/>
      <c r="AA98" s="944">
        <f>10819123-10819123</f>
        <v>0</v>
      </c>
      <c r="AB98" s="944"/>
      <c r="AC98" s="944"/>
      <c r="AD98" s="944"/>
      <c r="AE98" s="1017">
        <f>44180877+10819123-30000000</f>
        <v>25000000</v>
      </c>
      <c r="AF98" s="944"/>
      <c r="AG98" s="944"/>
      <c r="AH98" s="944"/>
      <c r="AI98" s="944"/>
      <c r="AJ98" s="944"/>
      <c r="AK98" s="149"/>
      <c r="AL98" s="944"/>
      <c r="AM98" s="944"/>
      <c r="AN98" s="1008"/>
      <c r="AO98" s="1008"/>
      <c r="AP98" s="1008"/>
      <c r="AQ98" s="1008"/>
      <c r="AR98" s="1008"/>
      <c r="AS98" s="1008"/>
      <c r="AT98" s="203"/>
      <c r="AU98" s="1011">
        <f t="shared" si="73"/>
        <v>0.56723508</v>
      </c>
      <c r="AV98" s="1008">
        <f t="shared" si="74"/>
        <v>14180877</v>
      </c>
      <c r="AW98" s="1008"/>
      <c r="AX98" s="1008"/>
      <c r="AY98" s="1008"/>
      <c r="AZ98" s="1008"/>
      <c r="BA98" s="1008"/>
      <c r="BB98" s="1008">
        <f>+'[9]FEBRERO 2015'!$N$1221-30000000</f>
        <v>14180877</v>
      </c>
      <c r="BC98" s="1008"/>
      <c r="BD98" s="1008"/>
      <c r="BE98" s="1008"/>
      <c r="BF98" s="1008"/>
      <c r="BG98" s="1008"/>
      <c r="BH98" s="1008"/>
      <c r="BI98" s="1008"/>
      <c r="BJ98" s="1008"/>
      <c r="BK98" s="1008"/>
      <c r="BL98" s="1008"/>
      <c r="BM98" s="1008"/>
      <c r="BN98" s="1008"/>
      <c r="BO98" s="1008"/>
      <c r="BP98" s="1008"/>
      <c r="BQ98" s="1011">
        <f t="shared" si="94"/>
        <v>0.43276492</v>
      </c>
      <c r="BR98" s="1008">
        <f t="shared" si="75"/>
        <v>10819123</v>
      </c>
      <c r="BS98" s="1008">
        <f t="shared" si="76"/>
        <v>0</v>
      </c>
      <c r="BT98" s="1008">
        <f t="shared" si="77"/>
        <v>0</v>
      </c>
      <c r="BU98" s="1008"/>
      <c r="BV98" s="1008">
        <f t="shared" si="78"/>
        <v>0</v>
      </c>
      <c r="BW98" s="1008"/>
      <c r="BX98" s="1008">
        <f t="shared" si="79"/>
        <v>10819123</v>
      </c>
      <c r="BY98" s="1008">
        <f t="shared" si="79"/>
        <v>0</v>
      </c>
      <c r="BZ98" s="1008"/>
      <c r="CA98" s="1008">
        <f t="shared" si="92"/>
        <v>0</v>
      </c>
      <c r="CB98" s="1008">
        <f t="shared" si="92"/>
        <v>0</v>
      </c>
      <c r="CC98" s="1008"/>
      <c r="CD98" s="1008">
        <f t="shared" si="93"/>
        <v>0</v>
      </c>
      <c r="CE98" s="1008">
        <f t="shared" si="93"/>
        <v>0</v>
      </c>
      <c r="CF98" s="1008">
        <f t="shared" si="93"/>
        <v>0</v>
      </c>
      <c r="CG98" s="1008">
        <f t="shared" si="93"/>
        <v>0</v>
      </c>
      <c r="CH98" s="1008">
        <f t="shared" si="93"/>
        <v>0</v>
      </c>
      <c r="CI98" s="1008">
        <f t="shared" si="93"/>
        <v>0</v>
      </c>
      <c r="CJ98" s="1008"/>
      <c r="CK98" s="1008"/>
      <c r="CL98" s="1008">
        <f t="shared" si="81"/>
        <v>0</v>
      </c>
      <c r="CM98" s="1011">
        <f t="shared" si="82"/>
        <v>2.5842960000000002E-2</v>
      </c>
      <c r="CN98" s="1008">
        <f t="shared" si="83"/>
        <v>646074</v>
      </c>
      <c r="CO98" s="1008"/>
      <c r="CP98" s="1008"/>
      <c r="CQ98" s="1008"/>
      <c r="CR98" s="1008"/>
      <c r="CS98" s="1008"/>
      <c r="CT98" s="1008">
        <f>+'[16]AGOSTO 2015'!$H$3027</f>
        <v>646074</v>
      </c>
      <c r="CU98" s="1008"/>
      <c r="CV98" s="1008"/>
      <c r="CW98" s="1008"/>
      <c r="CX98" s="1008"/>
      <c r="CY98" s="1008"/>
      <c r="CZ98" s="1008"/>
      <c r="DA98" s="1008"/>
      <c r="DB98" s="1008"/>
      <c r="DC98" s="1008"/>
      <c r="DD98" s="1008"/>
      <c r="DE98" s="1008"/>
      <c r="DF98" s="1008"/>
      <c r="DG98" s="1008"/>
      <c r="DH98" s="1008"/>
      <c r="DI98" s="1011">
        <f t="shared" si="84"/>
        <v>0.97415704000000003</v>
      </c>
      <c r="DJ98" s="1008">
        <f t="shared" si="85"/>
        <v>24353926</v>
      </c>
      <c r="DK98" s="1008"/>
      <c r="DL98" s="1008">
        <f>AA98-CP98</f>
        <v>0</v>
      </c>
      <c r="DM98" s="1008">
        <f>AB98-CQ98</f>
        <v>0</v>
      </c>
      <c r="DN98" s="1008">
        <f t="shared" si="86"/>
        <v>0</v>
      </c>
      <c r="DO98" s="1008"/>
      <c r="DP98" s="1008">
        <f t="shared" si="87"/>
        <v>24353926</v>
      </c>
      <c r="DQ98" s="1008">
        <f t="shared" si="87"/>
        <v>0</v>
      </c>
      <c r="DR98" s="1008"/>
      <c r="DS98" s="1008">
        <f t="shared" si="88"/>
        <v>0</v>
      </c>
      <c r="DT98" s="1008">
        <f t="shared" si="88"/>
        <v>0</v>
      </c>
      <c r="DU98" s="1008"/>
      <c r="DV98" s="1008">
        <f t="shared" si="89"/>
        <v>0</v>
      </c>
      <c r="DW98" s="1008">
        <f t="shared" si="89"/>
        <v>0</v>
      </c>
      <c r="DX98" s="1008">
        <f t="shared" si="89"/>
        <v>0</v>
      </c>
      <c r="DY98" s="1008">
        <f t="shared" si="90"/>
        <v>0</v>
      </c>
      <c r="DZ98" s="1008">
        <f t="shared" si="90"/>
        <v>0</v>
      </c>
      <c r="EA98" s="1008">
        <f t="shared" si="90"/>
        <v>0</v>
      </c>
      <c r="EB98" s="1008">
        <f t="shared" si="90"/>
        <v>0</v>
      </c>
      <c r="EC98" s="1008"/>
      <c r="ED98" s="1008">
        <f t="shared" si="91"/>
        <v>0</v>
      </c>
    </row>
    <row r="99" spans="1:134" s="203" customFormat="1" ht="39.75" hidden="1" customHeight="1" x14ac:dyDescent="0.25">
      <c r="A99" s="1565"/>
      <c r="B99" s="1593" t="s">
        <v>4363</v>
      </c>
      <c r="C99" s="1595" t="s">
        <v>4436</v>
      </c>
      <c r="D99" s="1557" t="s">
        <v>4628</v>
      </c>
      <c r="E99" s="1593">
        <v>520</v>
      </c>
      <c r="F99" s="1399" t="s">
        <v>3350</v>
      </c>
      <c r="G99" s="1399">
        <v>10000000</v>
      </c>
      <c r="H99" s="1061">
        <f t="shared" si="70"/>
        <v>0</v>
      </c>
      <c r="I99" s="1061">
        <f t="shared" si="71"/>
        <v>0</v>
      </c>
      <c r="J99" s="1120" t="s">
        <v>4929</v>
      </c>
      <c r="K99" s="1115" t="s">
        <v>4931</v>
      </c>
      <c r="L99" s="1115" t="s">
        <v>4931</v>
      </c>
      <c r="M99" s="1075">
        <v>0</v>
      </c>
      <c r="N99" s="1075">
        <v>0</v>
      </c>
      <c r="O99" s="1075">
        <v>0</v>
      </c>
      <c r="P99" s="1075"/>
      <c r="Q99" s="1075"/>
      <c r="R99" s="1075"/>
      <c r="S99" s="1120"/>
      <c r="T99" s="1120"/>
      <c r="U99" s="1120"/>
      <c r="V99" s="1120"/>
      <c r="W99" s="1120"/>
      <c r="X99" s="1120"/>
      <c r="Y99" s="1067">
        <f t="shared" si="72"/>
        <v>0</v>
      </c>
      <c r="Z99" s="149"/>
      <c r="AA99" s="149"/>
      <c r="AB99" s="149"/>
      <c r="AC99" s="149"/>
      <c r="AD99" s="149"/>
      <c r="AE99" s="1067">
        <f>10000000-10000000</f>
        <v>0</v>
      </c>
      <c r="AF99" s="149"/>
      <c r="AG99" s="149"/>
      <c r="AH99" s="149"/>
      <c r="AI99" s="149"/>
      <c r="AJ99" s="149"/>
      <c r="AK99" s="149"/>
      <c r="AL99" s="149"/>
      <c r="AM99" s="149"/>
      <c r="AN99" s="1067">
        <f>10000000-10000000</f>
        <v>0</v>
      </c>
      <c r="AO99" s="1067"/>
      <c r="AP99" s="1067"/>
      <c r="AQ99" s="1067"/>
      <c r="AR99" s="1067"/>
      <c r="AS99" s="1067"/>
      <c r="AU99" s="1082">
        <v>0</v>
      </c>
      <c r="AV99" s="1067">
        <f t="shared" si="74"/>
        <v>0</v>
      </c>
      <c r="AW99" s="1067"/>
      <c r="AX99" s="1067"/>
      <c r="AY99" s="1067"/>
      <c r="AZ99" s="1067"/>
      <c r="BA99" s="1067"/>
      <c r="BB99" s="1067">
        <f>+'[9]FEBRERO 2015'!$N$1228-10000000</f>
        <v>0</v>
      </c>
      <c r="BC99" s="1067"/>
      <c r="BD99" s="1067"/>
      <c r="BE99" s="1067"/>
      <c r="BF99" s="1067"/>
      <c r="BG99" s="1067"/>
      <c r="BH99" s="1067"/>
      <c r="BI99" s="1067"/>
      <c r="BJ99" s="1067"/>
      <c r="BK99" s="1067">
        <f>+'[8]FEBRERO 2015'!$W$1302-10000000</f>
        <v>0</v>
      </c>
      <c r="BL99" s="1067"/>
      <c r="BM99" s="1067"/>
      <c r="BN99" s="1067"/>
      <c r="BO99" s="1067"/>
      <c r="BP99" s="1067"/>
      <c r="BQ99" s="1082">
        <v>0</v>
      </c>
      <c r="BR99" s="1067">
        <f t="shared" si="75"/>
        <v>0</v>
      </c>
      <c r="BS99" s="1067">
        <f t="shared" si="76"/>
        <v>0</v>
      </c>
      <c r="BT99" s="1067">
        <f t="shared" si="77"/>
        <v>0</v>
      </c>
      <c r="BU99" s="1067"/>
      <c r="BV99" s="1067">
        <f t="shared" si="78"/>
        <v>0</v>
      </c>
      <c r="BW99" s="1067"/>
      <c r="BX99" s="1067">
        <f t="shared" si="79"/>
        <v>0</v>
      </c>
      <c r="BY99" s="1067">
        <f t="shared" si="79"/>
        <v>0</v>
      </c>
      <c r="BZ99" s="1067"/>
      <c r="CA99" s="1067">
        <f t="shared" si="92"/>
        <v>0</v>
      </c>
      <c r="CB99" s="1067">
        <f t="shared" si="92"/>
        <v>0</v>
      </c>
      <c r="CC99" s="1067"/>
      <c r="CD99" s="1067">
        <f t="shared" si="93"/>
        <v>0</v>
      </c>
      <c r="CE99" s="1067">
        <f t="shared" si="93"/>
        <v>0</v>
      </c>
      <c r="CF99" s="1067">
        <f t="shared" si="93"/>
        <v>0</v>
      </c>
      <c r="CG99" s="1067">
        <f t="shared" si="93"/>
        <v>0</v>
      </c>
      <c r="CH99" s="1067">
        <f t="shared" si="93"/>
        <v>0</v>
      </c>
      <c r="CI99" s="1067">
        <f t="shared" si="93"/>
        <v>0</v>
      </c>
      <c r="CJ99" s="1067"/>
      <c r="CK99" s="1067"/>
      <c r="CL99" s="1067">
        <f t="shared" si="81"/>
        <v>0</v>
      </c>
      <c r="CM99" s="1082">
        <v>0</v>
      </c>
      <c r="CN99" s="1067">
        <f t="shared" si="83"/>
        <v>0</v>
      </c>
      <c r="CO99" s="1067"/>
      <c r="CP99" s="1067"/>
      <c r="CQ99" s="1067"/>
      <c r="CR99" s="1067"/>
      <c r="CS99" s="1067"/>
      <c r="CT99" s="1067"/>
      <c r="CU99" s="1067"/>
      <c r="CV99" s="1067"/>
      <c r="CW99" s="1067"/>
      <c r="CX99" s="1067"/>
      <c r="CY99" s="1067"/>
      <c r="CZ99" s="1067"/>
      <c r="DA99" s="1067"/>
      <c r="DB99" s="1067"/>
      <c r="DC99" s="1067"/>
      <c r="DD99" s="1067"/>
      <c r="DE99" s="1067"/>
      <c r="DF99" s="1067"/>
      <c r="DG99" s="1067"/>
      <c r="DH99" s="1067"/>
      <c r="DI99" s="1082">
        <v>0</v>
      </c>
      <c r="DJ99" s="1067">
        <f t="shared" si="85"/>
        <v>0</v>
      </c>
      <c r="DK99" s="1067"/>
      <c r="DL99" s="1067"/>
      <c r="DM99" s="1067"/>
      <c r="DN99" s="1067">
        <f t="shared" si="86"/>
        <v>0</v>
      </c>
      <c r="DO99" s="1067"/>
      <c r="DP99" s="1067">
        <f t="shared" si="87"/>
        <v>0</v>
      </c>
      <c r="DQ99" s="1067">
        <f t="shared" si="87"/>
        <v>0</v>
      </c>
      <c r="DR99" s="1067"/>
      <c r="DS99" s="1067">
        <f t="shared" si="88"/>
        <v>0</v>
      </c>
      <c r="DT99" s="1067">
        <f t="shared" si="88"/>
        <v>0</v>
      </c>
      <c r="DU99" s="1067"/>
      <c r="DV99" s="1067">
        <f t="shared" si="89"/>
        <v>0</v>
      </c>
      <c r="DW99" s="1067">
        <f t="shared" si="89"/>
        <v>0</v>
      </c>
      <c r="DX99" s="1067">
        <f t="shared" si="89"/>
        <v>0</v>
      </c>
      <c r="DY99" s="1067">
        <f t="shared" si="90"/>
        <v>0</v>
      </c>
      <c r="DZ99" s="1067">
        <f t="shared" si="90"/>
        <v>0</v>
      </c>
      <c r="EA99" s="1067">
        <f t="shared" si="90"/>
        <v>0</v>
      </c>
      <c r="EB99" s="1067">
        <f t="shared" si="90"/>
        <v>0</v>
      </c>
      <c r="EC99" s="1067"/>
      <c r="ED99" s="1067">
        <f t="shared" si="91"/>
        <v>0</v>
      </c>
    </row>
    <row r="100" spans="1:134" s="203" customFormat="1" ht="25.5" hidden="1" customHeight="1" x14ac:dyDescent="0.25">
      <c r="A100" s="1565"/>
      <c r="B100" s="1594"/>
      <c r="C100" s="1596"/>
      <c r="D100" s="1558"/>
      <c r="E100" s="1594"/>
      <c r="F100" s="1401"/>
      <c r="G100" s="1401"/>
      <c r="H100" s="1061"/>
      <c r="I100" s="1061"/>
      <c r="J100" s="1120" t="s">
        <v>4930</v>
      </c>
      <c r="K100" s="1115" t="s">
        <v>4932</v>
      </c>
      <c r="L100" s="1115" t="s">
        <v>4932</v>
      </c>
      <c r="M100" s="1075">
        <v>0</v>
      </c>
      <c r="N100" s="1075">
        <v>0</v>
      </c>
      <c r="O100" s="1075">
        <v>0</v>
      </c>
      <c r="P100" s="1075"/>
      <c r="Q100" s="1075"/>
      <c r="R100" s="1075"/>
      <c r="S100" s="1120"/>
      <c r="T100" s="1120"/>
      <c r="U100" s="1120"/>
      <c r="V100" s="1120"/>
      <c r="W100" s="1120"/>
      <c r="X100" s="1120"/>
      <c r="Y100" s="1067"/>
      <c r="Z100" s="149"/>
      <c r="AA100" s="149"/>
      <c r="AB100" s="149"/>
      <c r="AC100" s="149"/>
      <c r="AD100" s="149"/>
      <c r="AE100" s="1084"/>
      <c r="AF100" s="149"/>
      <c r="AG100" s="149"/>
      <c r="AH100" s="149"/>
      <c r="AI100" s="149"/>
      <c r="AJ100" s="149"/>
      <c r="AK100" s="149"/>
      <c r="AL100" s="149"/>
      <c r="AM100" s="149"/>
      <c r="AN100" s="1067"/>
      <c r="AO100" s="1067"/>
      <c r="AP100" s="1067"/>
      <c r="AQ100" s="1067"/>
      <c r="AR100" s="1067"/>
      <c r="AS100" s="1067"/>
      <c r="AU100" s="1082"/>
      <c r="AV100" s="1067"/>
      <c r="AW100" s="1067"/>
      <c r="AX100" s="1067"/>
      <c r="AY100" s="1067"/>
      <c r="AZ100" s="1067"/>
      <c r="BA100" s="1067"/>
      <c r="BB100" s="1067"/>
      <c r="BC100" s="1067"/>
      <c r="BD100" s="1067"/>
      <c r="BE100" s="1067"/>
      <c r="BF100" s="1067"/>
      <c r="BG100" s="1067"/>
      <c r="BH100" s="1067"/>
      <c r="BI100" s="1067"/>
      <c r="BJ100" s="1067"/>
      <c r="BK100" s="1067"/>
      <c r="BL100" s="1067"/>
      <c r="BM100" s="1067"/>
      <c r="BN100" s="1067"/>
      <c r="BO100" s="1067"/>
      <c r="BP100" s="1067"/>
      <c r="BQ100" s="1082"/>
      <c r="BR100" s="1067"/>
      <c r="BS100" s="1067"/>
      <c r="BT100" s="1067"/>
      <c r="BU100" s="1067"/>
      <c r="BV100" s="1067"/>
      <c r="BW100" s="1067"/>
      <c r="BX100" s="1067"/>
      <c r="BY100" s="1067"/>
      <c r="BZ100" s="1067"/>
      <c r="CA100" s="1067"/>
      <c r="CB100" s="1067"/>
      <c r="CC100" s="1067"/>
      <c r="CD100" s="1067"/>
      <c r="CE100" s="1067"/>
      <c r="CF100" s="1067"/>
      <c r="CG100" s="1067"/>
      <c r="CH100" s="1067"/>
      <c r="CI100" s="1067"/>
      <c r="CJ100" s="1067"/>
      <c r="CK100" s="1067"/>
      <c r="CL100" s="1067"/>
      <c r="CM100" s="1082"/>
      <c r="CN100" s="1067"/>
      <c r="CO100" s="1067"/>
      <c r="CP100" s="1067"/>
      <c r="CQ100" s="1067"/>
      <c r="CR100" s="1067"/>
      <c r="CS100" s="1067"/>
      <c r="CT100" s="1067"/>
      <c r="CU100" s="1067"/>
      <c r="CV100" s="1067"/>
      <c r="CW100" s="1067"/>
      <c r="CX100" s="1067"/>
      <c r="CY100" s="1067"/>
      <c r="CZ100" s="1067"/>
      <c r="DA100" s="1067"/>
      <c r="DB100" s="1067"/>
      <c r="DC100" s="1067"/>
      <c r="DD100" s="1067"/>
      <c r="DE100" s="1067"/>
      <c r="DF100" s="1067"/>
      <c r="DG100" s="1067"/>
      <c r="DH100" s="1067"/>
      <c r="DI100" s="1082"/>
      <c r="DJ100" s="1067"/>
      <c r="DK100" s="1067"/>
      <c r="DL100" s="1067"/>
      <c r="DM100" s="1067"/>
      <c r="DN100" s="1067"/>
      <c r="DO100" s="1067"/>
      <c r="DP100" s="1067"/>
      <c r="DQ100" s="1067"/>
      <c r="DR100" s="1067"/>
      <c r="DS100" s="1067"/>
      <c r="DT100" s="1067"/>
      <c r="DU100" s="1067"/>
      <c r="DV100" s="1067"/>
      <c r="DW100" s="1067"/>
      <c r="DX100" s="1067"/>
      <c r="DY100" s="1067"/>
      <c r="DZ100" s="1067"/>
      <c r="EA100" s="1067"/>
      <c r="EB100" s="1067"/>
      <c r="EC100" s="1067"/>
      <c r="ED100" s="1067"/>
    </row>
    <row r="101" spans="1:134" ht="23.25" hidden="1" customHeight="1" x14ac:dyDescent="0.25">
      <c r="A101" s="1565"/>
      <c r="B101" s="1019" t="s">
        <v>4364</v>
      </c>
      <c r="C101" s="1116" t="s">
        <v>4437</v>
      </c>
      <c r="D101" s="1019" t="s">
        <v>4629</v>
      </c>
      <c r="E101" s="1020">
        <v>520</v>
      </c>
      <c r="F101" s="1120" t="s">
        <v>3350</v>
      </c>
      <c r="G101" s="1399">
        <v>361000000</v>
      </c>
      <c r="H101" s="1061">
        <f t="shared" si="70"/>
        <v>95407747</v>
      </c>
      <c r="I101" s="1061">
        <f>Y101-H101</f>
        <v>76743460</v>
      </c>
      <c r="J101" s="1126" t="s">
        <v>4895</v>
      </c>
      <c r="K101" s="1132" t="s">
        <v>4899</v>
      </c>
      <c r="L101" s="1132" t="s">
        <v>4901</v>
      </c>
      <c r="M101" s="1115">
        <v>24</v>
      </c>
      <c r="N101" s="1115">
        <v>0</v>
      </c>
      <c r="O101" s="1115">
        <v>0</v>
      </c>
      <c r="P101" s="1115">
        <v>54</v>
      </c>
      <c r="Q101" s="1115">
        <v>50</v>
      </c>
      <c r="R101" s="1115">
        <v>27</v>
      </c>
      <c r="S101" s="1120"/>
      <c r="T101" s="1120"/>
      <c r="U101" s="1120"/>
      <c r="V101" s="1120"/>
      <c r="W101" s="1120"/>
      <c r="X101" s="1120"/>
      <c r="Y101" s="1008">
        <f t="shared" si="72"/>
        <v>172151207</v>
      </c>
      <c r="Z101" s="944"/>
      <c r="AA101" s="944"/>
      <c r="AB101" s="944"/>
      <c r="AC101" s="1008">
        <f>80000000-72884540-7115460</f>
        <v>0</v>
      </c>
      <c r="AD101" s="1008">
        <v>72884540</v>
      </c>
      <c r="AE101" s="1017">
        <f>170000000-80733333</f>
        <v>89266667</v>
      </c>
      <c r="AF101" s="944"/>
      <c r="AG101" s="944"/>
      <c r="AH101" s="944"/>
      <c r="AI101" s="944"/>
      <c r="AJ101" s="944"/>
      <c r="AK101" s="149"/>
      <c r="AL101" s="944"/>
      <c r="AM101" s="944"/>
      <c r="AN101" s="1008">
        <v>10000000</v>
      </c>
      <c r="AO101" s="1008"/>
      <c r="AP101" s="1008"/>
      <c r="AQ101" s="1008"/>
      <c r="AR101" s="1008"/>
      <c r="AS101" s="1008"/>
      <c r="AT101" s="203"/>
      <c r="AU101" s="1011">
        <f t="shared" si="73"/>
        <v>1</v>
      </c>
      <c r="AV101" s="1008">
        <f t="shared" si="74"/>
        <v>172151207</v>
      </c>
      <c r="AW101" s="1008"/>
      <c r="AX101" s="1008"/>
      <c r="AY101" s="1008"/>
      <c r="AZ101" s="1008"/>
      <c r="BA101" s="1008">
        <f>+'[18]OCTUBRE 2015'!$N$4227</f>
        <v>72884540</v>
      </c>
      <c r="BB101" s="1008">
        <f>+'[8]FEBRERO 2015'!$N$1309</f>
        <v>89266667</v>
      </c>
      <c r="BC101" s="1008"/>
      <c r="BD101" s="1008"/>
      <c r="BE101" s="1008"/>
      <c r="BF101" s="1008"/>
      <c r="BG101" s="1008"/>
      <c r="BH101" s="1008"/>
      <c r="BI101" s="1008"/>
      <c r="BJ101" s="1008"/>
      <c r="BK101" s="1008">
        <f>+'[8]FEBRERO 2015'!$W$1309</f>
        <v>10000000</v>
      </c>
      <c r="BL101" s="1008"/>
      <c r="BM101" s="1008"/>
      <c r="BN101" s="1008"/>
      <c r="BO101" s="1008"/>
      <c r="BP101" s="1008"/>
      <c r="BQ101" s="1011">
        <f t="shared" si="94"/>
        <v>0</v>
      </c>
      <c r="BR101" s="1008">
        <f t="shared" si="75"/>
        <v>0</v>
      </c>
      <c r="BS101" s="1008">
        <f t="shared" si="76"/>
        <v>0</v>
      </c>
      <c r="BT101" s="1008">
        <f t="shared" si="77"/>
        <v>0</v>
      </c>
      <c r="BU101" s="1008"/>
      <c r="BV101" s="1008">
        <f t="shared" si="78"/>
        <v>0</v>
      </c>
      <c r="BW101" s="1008">
        <f>AD101-BA101</f>
        <v>0</v>
      </c>
      <c r="BX101" s="1008">
        <f t="shared" si="79"/>
        <v>0</v>
      </c>
      <c r="BY101" s="1008">
        <f t="shared" si="79"/>
        <v>0</v>
      </c>
      <c r="BZ101" s="1008"/>
      <c r="CA101" s="1008">
        <f t="shared" si="92"/>
        <v>0</v>
      </c>
      <c r="CB101" s="1008">
        <f t="shared" si="92"/>
        <v>0</v>
      </c>
      <c r="CC101" s="1008"/>
      <c r="CD101" s="1008">
        <f t="shared" si="93"/>
        <v>0</v>
      </c>
      <c r="CE101" s="1008">
        <f t="shared" si="93"/>
        <v>0</v>
      </c>
      <c r="CF101" s="1008">
        <f t="shared" si="93"/>
        <v>0</v>
      </c>
      <c r="CG101" s="1008">
        <f t="shared" si="93"/>
        <v>0</v>
      </c>
      <c r="CH101" s="1008">
        <f t="shared" si="93"/>
        <v>0</v>
      </c>
      <c r="CI101" s="1008">
        <f t="shared" si="93"/>
        <v>0</v>
      </c>
      <c r="CJ101" s="1008"/>
      <c r="CK101" s="1008"/>
      <c r="CL101" s="1008">
        <f t="shared" si="81"/>
        <v>0</v>
      </c>
      <c r="CM101" s="1011">
        <f t="shared" si="82"/>
        <v>0.55420899256314826</v>
      </c>
      <c r="CN101" s="1008">
        <f t="shared" si="83"/>
        <v>95407747</v>
      </c>
      <c r="CO101" s="1008"/>
      <c r="CP101" s="1008"/>
      <c r="CQ101" s="1008"/>
      <c r="CR101" s="1008"/>
      <c r="CS101" s="1008"/>
      <c r="CT101" s="1008">
        <f>+'[18]OCTUBRE 2015'!$H$4228+'[18]OCTUBRE 2015'!$H$4234</f>
        <v>85407747</v>
      </c>
      <c r="CU101" s="1008"/>
      <c r="CV101" s="1008"/>
      <c r="CW101" s="1008"/>
      <c r="CX101" s="1008"/>
      <c r="CY101" s="1008"/>
      <c r="CZ101" s="1008"/>
      <c r="DA101" s="1008"/>
      <c r="DB101" s="1008"/>
      <c r="DC101" s="1008">
        <f>+'[14]JUNIO 2015'!$H$2333</f>
        <v>10000000</v>
      </c>
      <c r="DD101" s="1008"/>
      <c r="DE101" s="1008"/>
      <c r="DF101" s="1008"/>
      <c r="DG101" s="1008"/>
      <c r="DH101" s="1008"/>
      <c r="DI101" s="1011">
        <f t="shared" si="84"/>
        <v>0.44579100743685174</v>
      </c>
      <c r="DJ101" s="1008">
        <f t="shared" si="85"/>
        <v>76743460</v>
      </c>
      <c r="DK101" s="1008"/>
      <c r="DL101" s="1008"/>
      <c r="DM101" s="1008"/>
      <c r="DN101" s="1008">
        <f t="shared" si="86"/>
        <v>0</v>
      </c>
      <c r="DO101" s="1008">
        <f>AD101-CS101</f>
        <v>72884540</v>
      </c>
      <c r="DP101" s="1008">
        <f t="shared" si="87"/>
        <v>3858920</v>
      </c>
      <c r="DQ101" s="1008">
        <f t="shared" si="87"/>
        <v>0</v>
      </c>
      <c r="DR101" s="1008"/>
      <c r="DS101" s="1008">
        <f t="shared" si="88"/>
        <v>0</v>
      </c>
      <c r="DT101" s="1008">
        <f t="shared" si="88"/>
        <v>0</v>
      </c>
      <c r="DU101" s="1008"/>
      <c r="DV101" s="1008">
        <f t="shared" si="89"/>
        <v>0</v>
      </c>
      <c r="DW101" s="1008">
        <f t="shared" si="89"/>
        <v>0</v>
      </c>
      <c r="DX101" s="1008">
        <f t="shared" si="89"/>
        <v>0</v>
      </c>
      <c r="DY101" s="1008">
        <f t="shared" si="90"/>
        <v>0</v>
      </c>
      <c r="DZ101" s="1008">
        <f t="shared" si="90"/>
        <v>0</v>
      </c>
      <c r="EA101" s="1008">
        <f t="shared" si="90"/>
        <v>0</v>
      </c>
      <c r="EB101" s="1008">
        <f t="shared" si="90"/>
        <v>0</v>
      </c>
      <c r="EC101" s="1008"/>
      <c r="ED101" s="1008">
        <f t="shared" si="91"/>
        <v>0</v>
      </c>
    </row>
    <row r="102" spans="1:134" ht="33" hidden="1" customHeight="1" x14ac:dyDescent="0.25">
      <c r="A102" s="1565"/>
      <c r="B102" s="1029"/>
      <c r="C102" s="1116" t="s">
        <v>4438</v>
      </c>
      <c r="D102" s="1019" t="s">
        <v>4706</v>
      </c>
      <c r="E102" s="1020">
        <v>520</v>
      </c>
      <c r="F102" s="1120" t="s">
        <v>3350</v>
      </c>
      <c r="G102" s="1400"/>
      <c r="H102" s="1061">
        <f t="shared" si="70"/>
        <v>110733333</v>
      </c>
      <c r="I102" s="1061">
        <f>Y102-H102</f>
        <v>0</v>
      </c>
      <c r="J102" s="1120" t="s">
        <v>4896</v>
      </c>
      <c r="K102" s="1115" t="s">
        <v>4898</v>
      </c>
      <c r="L102" s="1115" t="s">
        <v>4902</v>
      </c>
      <c r="M102" s="1115">
        <v>58</v>
      </c>
      <c r="N102" s="1115">
        <v>5</v>
      </c>
      <c r="O102" s="1115">
        <v>3</v>
      </c>
      <c r="P102" s="1115">
        <v>100</v>
      </c>
      <c r="Q102" s="1115">
        <v>40</v>
      </c>
      <c r="R102" s="1115">
        <v>40</v>
      </c>
      <c r="S102" s="1120"/>
      <c r="T102" s="1120"/>
      <c r="U102" s="1120"/>
      <c r="V102" s="1120"/>
      <c r="W102" s="1120"/>
      <c r="X102" s="1120"/>
      <c r="Y102" s="1008">
        <f t="shared" si="72"/>
        <v>110733333</v>
      </c>
      <c r="Z102" s="944"/>
      <c r="AA102" s="944"/>
      <c r="AB102" s="944"/>
      <c r="AC102" s="1008">
        <f>70000000-70000000</f>
        <v>0</v>
      </c>
      <c r="AD102" s="1008"/>
      <c r="AE102" s="1008">
        <f>30000000+80733333</f>
        <v>110733333</v>
      </c>
      <c r="AF102" s="944"/>
      <c r="AG102" s="944"/>
      <c r="AH102" s="944"/>
      <c r="AI102" s="944"/>
      <c r="AJ102" s="944"/>
      <c r="AK102" s="149"/>
      <c r="AL102" s="944"/>
      <c r="AM102" s="944"/>
      <c r="AN102" s="1008"/>
      <c r="AO102" s="1008"/>
      <c r="AP102" s="1008"/>
      <c r="AQ102" s="1008"/>
      <c r="AR102" s="1008"/>
      <c r="AS102" s="1008"/>
      <c r="AT102" s="203"/>
      <c r="AU102" s="1011">
        <f t="shared" si="73"/>
        <v>1</v>
      </c>
      <c r="AV102" s="1008">
        <f t="shared" si="74"/>
        <v>110733333</v>
      </c>
      <c r="AW102" s="1008"/>
      <c r="AX102" s="1008"/>
      <c r="AY102" s="1008"/>
      <c r="AZ102" s="1008">
        <f>+'[10]MARZO 2015'!$L$1529-70000000</f>
        <v>0</v>
      </c>
      <c r="BA102" s="1008"/>
      <c r="BB102" s="1008">
        <f>+'[10]MARZO 2015'!$N$1529</f>
        <v>110733333</v>
      </c>
      <c r="BC102" s="1008"/>
      <c r="BD102" s="1008"/>
      <c r="BE102" s="1008"/>
      <c r="BF102" s="1008"/>
      <c r="BG102" s="1008"/>
      <c r="BH102" s="1008"/>
      <c r="BI102" s="1008"/>
      <c r="BJ102" s="1008"/>
      <c r="BK102" s="1008"/>
      <c r="BL102" s="1008"/>
      <c r="BM102" s="1008"/>
      <c r="BN102" s="1008"/>
      <c r="BO102" s="1008"/>
      <c r="BP102" s="1008"/>
      <c r="BQ102" s="1011">
        <f t="shared" si="94"/>
        <v>0</v>
      </c>
      <c r="BR102" s="1008">
        <f t="shared" si="75"/>
        <v>0</v>
      </c>
      <c r="BS102" s="1008">
        <f t="shared" si="76"/>
        <v>0</v>
      </c>
      <c r="BT102" s="1008">
        <f t="shared" si="77"/>
        <v>0</v>
      </c>
      <c r="BU102" s="1008"/>
      <c r="BV102" s="1008">
        <f t="shared" si="78"/>
        <v>0</v>
      </c>
      <c r="BW102" s="1008"/>
      <c r="BX102" s="1008">
        <f t="shared" si="79"/>
        <v>0</v>
      </c>
      <c r="BY102" s="1008">
        <f t="shared" si="79"/>
        <v>0</v>
      </c>
      <c r="BZ102" s="1008"/>
      <c r="CA102" s="1008">
        <f t="shared" si="92"/>
        <v>0</v>
      </c>
      <c r="CB102" s="1008">
        <f t="shared" si="92"/>
        <v>0</v>
      </c>
      <c r="CC102" s="1008"/>
      <c r="CD102" s="1008">
        <f t="shared" si="93"/>
        <v>0</v>
      </c>
      <c r="CE102" s="1008">
        <f t="shared" si="93"/>
        <v>0</v>
      </c>
      <c r="CF102" s="1008">
        <f t="shared" si="93"/>
        <v>0</v>
      </c>
      <c r="CG102" s="1008">
        <f t="shared" si="93"/>
        <v>0</v>
      </c>
      <c r="CH102" s="1008">
        <f t="shared" si="93"/>
        <v>0</v>
      </c>
      <c r="CI102" s="1008">
        <f t="shared" si="93"/>
        <v>0</v>
      </c>
      <c r="CJ102" s="1008"/>
      <c r="CK102" s="1008"/>
      <c r="CL102" s="1008">
        <f t="shared" si="81"/>
        <v>0</v>
      </c>
      <c r="CM102" s="1011">
        <f t="shared" si="82"/>
        <v>1</v>
      </c>
      <c r="CN102" s="1008">
        <f t="shared" si="83"/>
        <v>110733333</v>
      </c>
      <c r="CO102" s="1008"/>
      <c r="CP102" s="1008"/>
      <c r="CQ102" s="1008"/>
      <c r="CR102" s="1008"/>
      <c r="CS102" s="1008"/>
      <c r="CT102" s="1008">
        <f>+'[15]JULIO 2015'!$H$2722</f>
        <v>110733333</v>
      </c>
      <c r="CU102" s="1008"/>
      <c r="CV102" s="1008"/>
      <c r="CW102" s="1008"/>
      <c r="CX102" s="1008"/>
      <c r="CY102" s="1008"/>
      <c r="CZ102" s="1008"/>
      <c r="DA102" s="1008"/>
      <c r="DB102" s="1008"/>
      <c r="DC102" s="1008"/>
      <c r="DD102" s="1008"/>
      <c r="DE102" s="1008"/>
      <c r="DF102" s="1008"/>
      <c r="DG102" s="1008"/>
      <c r="DH102" s="1008"/>
      <c r="DI102" s="1011">
        <f t="shared" si="84"/>
        <v>0</v>
      </c>
      <c r="DJ102" s="1008">
        <f t="shared" si="85"/>
        <v>0</v>
      </c>
      <c r="DK102" s="1008"/>
      <c r="DL102" s="1008"/>
      <c r="DM102" s="1008"/>
      <c r="DN102" s="1008">
        <f t="shared" si="86"/>
        <v>0</v>
      </c>
      <c r="DO102" s="1008"/>
      <c r="DP102" s="1008">
        <f t="shared" si="87"/>
        <v>0</v>
      </c>
      <c r="DQ102" s="1008">
        <f t="shared" si="87"/>
        <v>0</v>
      </c>
      <c r="DR102" s="1008"/>
      <c r="DS102" s="1008">
        <f t="shared" si="88"/>
        <v>0</v>
      </c>
      <c r="DT102" s="1008">
        <f t="shared" si="88"/>
        <v>0</v>
      </c>
      <c r="DU102" s="1008"/>
      <c r="DV102" s="1008">
        <f t="shared" si="89"/>
        <v>0</v>
      </c>
      <c r="DW102" s="1008">
        <f t="shared" si="89"/>
        <v>0</v>
      </c>
      <c r="DX102" s="1008">
        <f t="shared" si="89"/>
        <v>0</v>
      </c>
      <c r="DY102" s="1008">
        <f t="shared" si="90"/>
        <v>0</v>
      </c>
      <c r="DZ102" s="1008">
        <f t="shared" si="90"/>
        <v>0</v>
      </c>
      <c r="EA102" s="1008">
        <f t="shared" si="90"/>
        <v>0</v>
      </c>
      <c r="EB102" s="1008">
        <f t="shared" si="90"/>
        <v>0</v>
      </c>
      <c r="EC102" s="1008"/>
      <c r="ED102" s="1008">
        <f t="shared" si="91"/>
        <v>0</v>
      </c>
    </row>
    <row r="103" spans="1:134" ht="40.5" hidden="1" customHeight="1" x14ac:dyDescent="0.25">
      <c r="A103" s="1565"/>
      <c r="B103" s="1029"/>
      <c r="C103" s="1116" t="s">
        <v>4439</v>
      </c>
      <c r="D103" s="1019" t="s">
        <v>4630</v>
      </c>
      <c r="E103" s="1020">
        <v>520</v>
      </c>
      <c r="F103" s="1120" t="s">
        <v>4933</v>
      </c>
      <c r="G103" s="1401"/>
      <c r="H103" s="1061">
        <f t="shared" si="70"/>
        <v>25523209</v>
      </c>
      <c r="I103" s="1061">
        <f>Y103-H103</f>
        <v>11889899</v>
      </c>
      <c r="J103" s="1120" t="s">
        <v>4897</v>
      </c>
      <c r="K103" s="1115" t="s">
        <v>4900</v>
      </c>
      <c r="L103" s="1115" t="s">
        <v>4903</v>
      </c>
      <c r="M103" s="1115">
        <v>0</v>
      </c>
      <c r="N103" s="1115">
        <v>0</v>
      </c>
      <c r="O103" s="1115">
        <v>0</v>
      </c>
      <c r="P103" s="1115">
        <v>22</v>
      </c>
      <c r="Q103" s="1115">
        <v>0</v>
      </c>
      <c r="R103" s="1115">
        <v>0</v>
      </c>
      <c r="S103" s="1120"/>
      <c r="T103" s="1120"/>
      <c r="U103" s="1120"/>
      <c r="V103" s="1120"/>
      <c r="W103" s="1120"/>
      <c r="X103" s="1120"/>
      <c r="Y103" s="1008">
        <f t="shared" si="72"/>
        <v>37413108</v>
      </c>
      <c r="Z103" s="944"/>
      <c r="AA103" s="944"/>
      <c r="AB103" s="944"/>
      <c r="AC103" s="944"/>
      <c r="AD103" s="944"/>
      <c r="AE103" s="944"/>
      <c r="AF103" s="944"/>
      <c r="AG103" s="944"/>
      <c r="AH103" s="944"/>
      <c r="AI103" s="944"/>
      <c r="AJ103" s="944"/>
      <c r="AK103" s="149"/>
      <c r="AL103" s="944"/>
      <c r="AM103" s="944"/>
      <c r="AN103" s="1008"/>
      <c r="AO103" s="1008"/>
      <c r="AP103" s="1008"/>
      <c r="AQ103" s="1008"/>
      <c r="AR103" s="1008"/>
      <c r="AS103" s="1008">
        <f>3000000+8000000+20123209+4455882+1834017</f>
        <v>37413108</v>
      </c>
      <c r="AT103" s="203"/>
      <c r="AU103" s="1011">
        <f t="shared" si="73"/>
        <v>0.73715049281658185</v>
      </c>
      <c r="AV103" s="1008">
        <f t="shared" si="74"/>
        <v>27579091</v>
      </c>
      <c r="AW103" s="1008"/>
      <c r="AX103" s="1008"/>
      <c r="AY103" s="1008"/>
      <c r="AZ103" s="1008"/>
      <c r="BA103" s="1008"/>
      <c r="BB103" s="1008"/>
      <c r="BC103" s="1008"/>
      <c r="BD103" s="1008"/>
      <c r="BE103" s="1008"/>
      <c r="BF103" s="1008"/>
      <c r="BG103" s="1008"/>
      <c r="BH103" s="1008"/>
      <c r="BI103" s="1008"/>
      <c r="BJ103" s="1008"/>
      <c r="BK103" s="1008"/>
      <c r="BL103" s="1008"/>
      <c r="BM103" s="1008"/>
      <c r="BN103" s="1008"/>
      <c r="BO103" s="1008"/>
      <c r="BP103" s="1008">
        <f>+'[15]JULIO 2015'!$AD$2743</f>
        <v>27579091</v>
      </c>
      <c r="BQ103" s="1011">
        <f t="shared" si="94"/>
        <v>0.26284950718341815</v>
      </c>
      <c r="BR103" s="1008">
        <f t="shared" si="75"/>
        <v>9834017</v>
      </c>
      <c r="BS103" s="1008">
        <f t="shared" si="76"/>
        <v>0</v>
      </c>
      <c r="BT103" s="1008">
        <f t="shared" si="77"/>
        <v>0</v>
      </c>
      <c r="BU103" s="1008"/>
      <c r="BV103" s="1008">
        <f t="shared" si="78"/>
        <v>0</v>
      </c>
      <c r="BW103" s="1008"/>
      <c r="BX103" s="1008">
        <f t="shared" si="79"/>
        <v>0</v>
      </c>
      <c r="BY103" s="1008">
        <f t="shared" si="79"/>
        <v>0</v>
      </c>
      <c r="BZ103" s="1008"/>
      <c r="CA103" s="1008">
        <f t="shared" si="92"/>
        <v>0</v>
      </c>
      <c r="CB103" s="1008">
        <f t="shared" si="92"/>
        <v>0</v>
      </c>
      <c r="CC103" s="1008"/>
      <c r="CD103" s="1008">
        <f t="shared" si="93"/>
        <v>0</v>
      </c>
      <c r="CE103" s="1008">
        <f t="shared" si="93"/>
        <v>0</v>
      </c>
      <c r="CF103" s="1008">
        <f t="shared" si="93"/>
        <v>0</v>
      </c>
      <c r="CG103" s="1008">
        <f t="shared" si="93"/>
        <v>0</v>
      </c>
      <c r="CH103" s="1008">
        <f t="shared" si="93"/>
        <v>0</v>
      </c>
      <c r="CI103" s="1008">
        <f t="shared" si="93"/>
        <v>0</v>
      </c>
      <c r="CJ103" s="1008"/>
      <c r="CK103" s="1008"/>
      <c r="CL103" s="1008">
        <f t="shared" si="81"/>
        <v>9834017</v>
      </c>
      <c r="CM103" s="1011">
        <f t="shared" si="82"/>
        <v>0.68219964510834008</v>
      </c>
      <c r="CN103" s="1008">
        <f t="shared" si="83"/>
        <v>25523209</v>
      </c>
      <c r="CO103" s="1008"/>
      <c r="CP103" s="1008"/>
      <c r="CQ103" s="1008"/>
      <c r="CR103" s="1008"/>
      <c r="CS103" s="1008"/>
      <c r="CT103" s="1008"/>
      <c r="CU103" s="1008"/>
      <c r="CV103" s="1008"/>
      <c r="CW103" s="1008"/>
      <c r="CX103" s="1008"/>
      <c r="CY103" s="1008"/>
      <c r="CZ103" s="1008"/>
      <c r="DA103" s="1008"/>
      <c r="DB103" s="1008"/>
      <c r="DC103" s="1008"/>
      <c r="DD103" s="1008"/>
      <c r="DE103" s="1008"/>
      <c r="DF103" s="1008"/>
      <c r="DG103" s="1008"/>
      <c r="DH103" s="1008">
        <f>+'[18]OCTUBRE 2015'!$H$4271</f>
        <v>25523209</v>
      </c>
      <c r="DI103" s="1011">
        <f t="shared" si="84"/>
        <v>0.31780035489165992</v>
      </c>
      <c r="DJ103" s="1008">
        <f t="shared" si="85"/>
        <v>11889899</v>
      </c>
      <c r="DK103" s="1008"/>
      <c r="DL103" s="1008"/>
      <c r="DM103" s="1008"/>
      <c r="DN103" s="1008">
        <f t="shared" si="86"/>
        <v>0</v>
      </c>
      <c r="DO103" s="1008"/>
      <c r="DP103" s="1008">
        <f t="shared" si="87"/>
        <v>0</v>
      </c>
      <c r="DQ103" s="1008">
        <f t="shared" si="87"/>
        <v>0</v>
      </c>
      <c r="DR103" s="1008"/>
      <c r="DS103" s="1008">
        <f t="shared" si="88"/>
        <v>0</v>
      </c>
      <c r="DT103" s="1008">
        <f t="shared" si="88"/>
        <v>0</v>
      </c>
      <c r="DU103" s="1008"/>
      <c r="DV103" s="1008">
        <f t="shared" si="89"/>
        <v>0</v>
      </c>
      <c r="DW103" s="1008">
        <f t="shared" si="89"/>
        <v>0</v>
      </c>
      <c r="DX103" s="1008">
        <f t="shared" si="89"/>
        <v>0</v>
      </c>
      <c r="DY103" s="1008">
        <f t="shared" si="90"/>
        <v>0</v>
      </c>
      <c r="DZ103" s="1008">
        <f t="shared" si="90"/>
        <v>0</v>
      </c>
      <c r="EA103" s="1008">
        <f t="shared" si="90"/>
        <v>0</v>
      </c>
      <c r="EB103" s="1008">
        <f t="shared" si="90"/>
        <v>0</v>
      </c>
      <c r="EC103" s="1008"/>
      <c r="ED103" s="1008">
        <f t="shared" si="91"/>
        <v>11889899</v>
      </c>
    </row>
    <row r="104" spans="1:134" s="948" customFormat="1" ht="21" customHeight="1" thickTop="1" thickBot="1" x14ac:dyDescent="0.3">
      <c r="A104" s="1002"/>
      <c r="B104" s="1622" t="s">
        <v>4990</v>
      </c>
      <c r="C104" s="1623"/>
      <c r="D104" s="1623"/>
      <c r="E104" s="1624"/>
      <c r="F104" s="1129"/>
      <c r="G104" s="1009">
        <f>SUM(G68:G103)</f>
        <v>2832000000</v>
      </c>
      <c r="H104" s="1009">
        <f>SUM(H68:H103)</f>
        <v>1966515918</v>
      </c>
      <c r="I104" s="1009">
        <f>SUM(I68:I103)</f>
        <v>1022725353</v>
      </c>
      <c r="J104" s="1130"/>
      <c r="K104" s="1128"/>
      <c r="L104" s="1128"/>
      <c r="M104" s="1128"/>
      <c r="N104" s="1128"/>
      <c r="O104" s="1128"/>
      <c r="P104" s="1128"/>
      <c r="Q104" s="1128"/>
      <c r="R104" s="1128"/>
      <c r="S104" s="1130"/>
      <c r="T104" s="1130"/>
      <c r="U104" s="1130"/>
      <c r="V104" s="1130"/>
      <c r="W104" s="1130"/>
      <c r="X104" s="1130"/>
      <c r="Y104" s="1009">
        <f t="shared" ref="Y104:AS104" si="95">SUM(Y68:Y103)</f>
        <v>2989241271</v>
      </c>
      <c r="Z104" s="1009">
        <f t="shared" si="95"/>
        <v>0</v>
      </c>
      <c r="AA104" s="1009">
        <f t="shared" si="95"/>
        <v>0</v>
      </c>
      <c r="AB104" s="1009">
        <f t="shared" si="95"/>
        <v>0</v>
      </c>
      <c r="AC104" s="1009">
        <f t="shared" si="95"/>
        <v>50000000</v>
      </c>
      <c r="AD104" s="1009">
        <f t="shared" si="95"/>
        <v>72884540</v>
      </c>
      <c r="AE104" s="1009">
        <f t="shared" si="95"/>
        <v>660000000</v>
      </c>
      <c r="AF104" s="1009">
        <f t="shared" si="95"/>
        <v>923014856</v>
      </c>
      <c r="AG104" s="1009">
        <f t="shared" si="95"/>
        <v>0</v>
      </c>
      <c r="AH104" s="1009">
        <f t="shared" si="95"/>
        <v>0</v>
      </c>
      <c r="AI104" s="1009">
        <f t="shared" si="95"/>
        <v>0</v>
      </c>
      <c r="AJ104" s="1009">
        <f t="shared" si="95"/>
        <v>0</v>
      </c>
      <c r="AK104" s="1009">
        <f t="shared" si="95"/>
        <v>0</v>
      </c>
      <c r="AL104" s="1009">
        <f t="shared" si="95"/>
        <v>610864435</v>
      </c>
      <c r="AM104" s="1009">
        <f t="shared" si="95"/>
        <v>0</v>
      </c>
      <c r="AN104" s="1009">
        <f t="shared" si="95"/>
        <v>75000000</v>
      </c>
      <c r="AO104" s="1009">
        <f t="shared" si="95"/>
        <v>0</v>
      </c>
      <c r="AP104" s="1009">
        <f t="shared" si="95"/>
        <v>0</v>
      </c>
      <c r="AQ104" s="1009">
        <f t="shared" si="95"/>
        <v>0</v>
      </c>
      <c r="AR104" s="1009">
        <f t="shared" si="95"/>
        <v>0</v>
      </c>
      <c r="AS104" s="1009">
        <f t="shared" si="95"/>
        <v>597477440</v>
      </c>
      <c r="AU104" s="1012">
        <f t="shared" si="73"/>
        <v>0.82265790415015316</v>
      </c>
      <c r="AV104" s="1009">
        <f>SUM(AV68:AV103)</f>
        <v>2459122959</v>
      </c>
      <c r="AW104" s="1009">
        <f>SUM(AW68:AW103)</f>
        <v>0</v>
      </c>
      <c r="AX104" s="1009">
        <f>SUM(AX68:AX103)</f>
        <v>0</v>
      </c>
      <c r="AY104" s="1009"/>
      <c r="AZ104" s="1009">
        <f>SUM(AZ68:AZ103)</f>
        <v>40000000</v>
      </c>
      <c r="BA104" s="1009"/>
      <c r="BB104" s="1009">
        <f t="shared" ref="BB104:BP104" si="96">SUM(BB68:BB103)</f>
        <v>636973277</v>
      </c>
      <c r="BC104" s="1009">
        <f t="shared" si="96"/>
        <v>845000000</v>
      </c>
      <c r="BD104" s="1009">
        <f t="shared" si="96"/>
        <v>0</v>
      </c>
      <c r="BE104" s="1009">
        <f t="shared" si="96"/>
        <v>0</v>
      </c>
      <c r="BF104" s="1009">
        <f t="shared" si="96"/>
        <v>0</v>
      </c>
      <c r="BG104" s="1009">
        <f t="shared" si="96"/>
        <v>0</v>
      </c>
      <c r="BH104" s="1009">
        <f t="shared" si="96"/>
        <v>0</v>
      </c>
      <c r="BI104" s="1009">
        <f t="shared" si="96"/>
        <v>244660776</v>
      </c>
      <c r="BJ104" s="1009">
        <f t="shared" si="96"/>
        <v>0</v>
      </c>
      <c r="BK104" s="1009">
        <f t="shared" si="96"/>
        <v>66597464</v>
      </c>
      <c r="BL104" s="1009">
        <f t="shared" si="96"/>
        <v>0</v>
      </c>
      <c r="BM104" s="1009">
        <f t="shared" si="96"/>
        <v>0</v>
      </c>
      <c r="BN104" s="1009">
        <f t="shared" si="96"/>
        <v>0</v>
      </c>
      <c r="BO104" s="1009">
        <f t="shared" si="96"/>
        <v>0</v>
      </c>
      <c r="BP104" s="1009">
        <f t="shared" si="96"/>
        <v>553006902</v>
      </c>
      <c r="BQ104" s="1012">
        <f t="shared" si="94"/>
        <v>0.17734209584984684</v>
      </c>
      <c r="BR104" s="1009">
        <f t="shared" ref="BR104:CL104" si="97">SUM(BR68:BR103)</f>
        <v>530118312</v>
      </c>
      <c r="BS104" s="1009">
        <f t="shared" si="97"/>
        <v>0</v>
      </c>
      <c r="BT104" s="1009">
        <f t="shared" si="97"/>
        <v>0</v>
      </c>
      <c r="BU104" s="1009">
        <f t="shared" si="97"/>
        <v>0</v>
      </c>
      <c r="BV104" s="1009">
        <f t="shared" si="97"/>
        <v>10000000</v>
      </c>
      <c r="BW104" s="1009">
        <f t="shared" si="97"/>
        <v>0</v>
      </c>
      <c r="BX104" s="1009">
        <f t="shared" si="97"/>
        <v>23026723</v>
      </c>
      <c r="BY104" s="1009">
        <f t="shared" si="97"/>
        <v>78014856</v>
      </c>
      <c r="BZ104" s="1009">
        <f t="shared" si="97"/>
        <v>0</v>
      </c>
      <c r="CA104" s="1009">
        <f t="shared" si="97"/>
        <v>0</v>
      </c>
      <c r="CB104" s="1009">
        <f t="shared" si="97"/>
        <v>0</v>
      </c>
      <c r="CC104" s="1009">
        <f t="shared" si="97"/>
        <v>0</v>
      </c>
      <c r="CD104" s="1009">
        <f t="shared" si="97"/>
        <v>0</v>
      </c>
      <c r="CE104" s="1009">
        <f t="shared" si="97"/>
        <v>366203659</v>
      </c>
      <c r="CF104" s="1009">
        <f t="shared" si="97"/>
        <v>0</v>
      </c>
      <c r="CG104" s="1009">
        <f t="shared" si="97"/>
        <v>8402536</v>
      </c>
      <c r="CH104" s="1009">
        <f t="shared" si="97"/>
        <v>0</v>
      </c>
      <c r="CI104" s="1009">
        <f t="shared" si="97"/>
        <v>0</v>
      </c>
      <c r="CJ104" s="1009">
        <f t="shared" si="97"/>
        <v>0</v>
      </c>
      <c r="CK104" s="1009">
        <f t="shared" si="97"/>
        <v>0</v>
      </c>
      <c r="CL104" s="1009">
        <f t="shared" si="97"/>
        <v>44470538</v>
      </c>
      <c r="CM104" s="1012">
        <f t="shared" si="82"/>
        <v>0.65786456820266481</v>
      </c>
      <c r="CN104" s="1009">
        <f>SUM(CN68:CN103)</f>
        <v>1966515918</v>
      </c>
      <c r="CO104" s="1009">
        <f>SUM(CO68:CO103)</f>
        <v>0</v>
      </c>
      <c r="CP104" s="1009">
        <f>SUM(CP68:CP103)</f>
        <v>0</v>
      </c>
      <c r="CQ104" s="1009"/>
      <c r="CR104" s="1009">
        <f>SUM(CR68:CR103)</f>
        <v>40000000</v>
      </c>
      <c r="CS104" s="1009"/>
      <c r="CT104" s="1009">
        <f>SUM(CT68:CT103)</f>
        <v>501581004</v>
      </c>
      <c r="CU104" s="1009">
        <f>SUM(CU68:CU103)</f>
        <v>707349678</v>
      </c>
      <c r="CV104" s="1009"/>
      <c r="CW104" s="1009">
        <f t="shared" ref="CW104:DH104" si="98">SUM(CW68:CW103)</f>
        <v>0</v>
      </c>
      <c r="CX104" s="1009">
        <f t="shared" si="98"/>
        <v>0</v>
      </c>
      <c r="CY104" s="1009">
        <f t="shared" si="98"/>
        <v>0</v>
      </c>
      <c r="CZ104" s="1009">
        <f t="shared" si="98"/>
        <v>0</v>
      </c>
      <c r="DA104" s="1009">
        <f t="shared" si="98"/>
        <v>151633574</v>
      </c>
      <c r="DB104" s="1009">
        <f t="shared" si="98"/>
        <v>0</v>
      </c>
      <c r="DC104" s="1009">
        <f t="shared" si="98"/>
        <v>54136664</v>
      </c>
      <c r="DD104" s="1009">
        <f t="shared" si="98"/>
        <v>0</v>
      </c>
      <c r="DE104" s="1009">
        <f t="shared" si="98"/>
        <v>0</v>
      </c>
      <c r="DF104" s="1009">
        <f t="shared" si="98"/>
        <v>0</v>
      </c>
      <c r="DG104" s="1009">
        <f t="shared" si="98"/>
        <v>0</v>
      </c>
      <c r="DH104" s="1009">
        <f t="shared" si="98"/>
        <v>511814998</v>
      </c>
      <c r="DI104" s="1012">
        <f t="shared" si="84"/>
        <v>0.34213543179733519</v>
      </c>
      <c r="DJ104" s="1009">
        <f>SUM(DJ68:DJ103)</f>
        <v>1022725353</v>
      </c>
      <c r="DK104" s="1009">
        <f>SUM(DK68:DK103)</f>
        <v>0</v>
      </c>
      <c r="DL104" s="1009">
        <f>SUM(DL68:DL103)</f>
        <v>0</v>
      </c>
      <c r="DM104" s="1009"/>
      <c r="DN104" s="1009">
        <f t="shared" ref="DN104:ED104" si="99">SUM(DN68:DN103)</f>
        <v>10000000</v>
      </c>
      <c r="DO104" s="1009">
        <f t="shared" si="99"/>
        <v>72884540</v>
      </c>
      <c r="DP104" s="1009">
        <f t="shared" si="99"/>
        <v>158418996</v>
      </c>
      <c r="DQ104" s="1009">
        <f t="shared" si="99"/>
        <v>215665178</v>
      </c>
      <c r="DR104" s="1009">
        <f t="shared" si="99"/>
        <v>0</v>
      </c>
      <c r="DS104" s="1009">
        <f t="shared" si="99"/>
        <v>0</v>
      </c>
      <c r="DT104" s="1009">
        <f t="shared" si="99"/>
        <v>0</v>
      </c>
      <c r="DU104" s="1009">
        <f t="shared" si="99"/>
        <v>0</v>
      </c>
      <c r="DV104" s="1009">
        <f t="shared" si="99"/>
        <v>0</v>
      </c>
      <c r="DW104" s="1009">
        <f t="shared" si="99"/>
        <v>459230861</v>
      </c>
      <c r="DX104" s="1009">
        <f t="shared" si="99"/>
        <v>0</v>
      </c>
      <c r="DY104" s="1009">
        <f t="shared" si="99"/>
        <v>20863336</v>
      </c>
      <c r="DZ104" s="1009">
        <f t="shared" si="99"/>
        <v>0</v>
      </c>
      <c r="EA104" s="1009">
        <f t="shared" si="99"/>
        <v>0</v>
      </c>
      <c r="EB104" s="1009">
        <f t="shared" si="99"/>
        <v>0</v>
      </c>
      <c r="EC104" s="1009">
        <f t="shared" si="99"/>
        <v>0</v>
      </c>
      <c r="ED104" s="1037">
        <f t="shared" si="99"/>
        <v>85662442</v>
      </c>
    </row>
    <row r="105" spans="1:134" s="948" customFormat="1" ht="27.75" hidden="1" customHeight="1" x14ac:dyDescent="0.25">
      <c r="A105" s="1559" t="s">
        <v>3307</v>
      </c>
      <c r="B105" s="1019" t="s">
        <v>4366</v>
      </c>
      <c r="C105" s="131" t="s">
        <v>4440</v>
      </c>
      <c r="D105" s="1019" t="s">
        <v>4631</v>
      </c>
      <c r="E105" s="1019">
        <v>301</v>
      </c>
      <c r="F105" s="1120" t="s">
        <v>4661</v>
      </c>
      <c r="G105" s="1399">
        <v>325000000</v>
      </c>
      <c r="H105" s="1061">
        <f t="shared" ref="H105:H127" si="100">+CN105</f>
        <v>59858617</v>
      </c>
      <c r="I105" s="1061">
        <f t="shared" ref="I105:I114" si="101">Y105-H105</f>
        <v>16141383</v>
      </c>
      <c r="J105" s="1120" t="s">
        <v>4904</v>
      </c>
      <c r="K105" s="1115" t="s">
        <v>4909</v>
      </c>
      <c r="L105" s="1115" t="s">
        <v>4916</v>
      </c>
      <c r="M105" s="1115">
        <v>13</v>
      </c>
      <c r="N105" s="1115">
        <v>37</v>
      </c>
      <c r="O105" s="1115">
        <v>5</v>
      </c>
      <c r="P105" s="1115">
        <v>30</v>
      </c>
      <c r="Q105" s="1115">
        <v>71</v>
      </c>
      <c r="R105" s="1115">
        <v>21</v>
      </c>
      <c r="S105" s="1120"/>
      <c r="T105" s="1120"/>
      <c r="U105" s="1120"/>
      <c r="V105" s="1120"/>
      <c r="W105" s="1120"/>
      <c r="X105" s="1120"/>
      <c r="Y105" s="1008">
        <f t="shared" ref="Y105:Y127" si="102">SUM(Z105:AS105)</f>
        <v>76000000</v>
      </c>
      <c r="Z105" s="1008"/>
      <c r="AA105" s="1008">
        <f>6985144-6985144</f>
        <v>0</v>
      </c>
      <c r="AB105" s="1008"/>
      <c r="AC105" s="1008"/>
      <c r="AD105" s="1008"/>
      <c r="AE105" s="1008"/>
      <c r="AF105" s="1008"/>
      <c r="AG105" s="1008"/>
      <c r="AH105" s="1008"/>
      <c r="AI105" s="1008"/>
      <c r="AJ105" s="1008"/>
      <c r="AK105" s="1008"/>
      <c r="AL105" s="1008"/>
      <c r="AM105" s="1008"/>
      <c r="AN105" s="1008"/>
      <c r="AO105" s="1008">
        <v>6985144</v>
      </c>
      <c r="AP105" s="1008">
        <v>69014856</v>
      </c>
      <c r="AQ105" s="1008"/>
      <c r="AR105" s="1008"/>
      <c r="AS105" s="1008"/>
      <c r="AU105" s="1011">
        <f t="shared" ref="AU105:AU174" si="103">+AV105/Y105</f>
        <v>0.90809021052631578</v>
      </c>
      <c r="AV105" s="1008">
        <f t="shared" ref="AV105:AV127" si="104">SUM(AW105:BP105)</f>
        <v>69014856</v>
      </c>
      <c r="AW105" s="1008"/>
      <c r="AX105" s="1008"/>
      <c r="AY105" s="1008"/>
      <c r="AZ105" s="1008"/>
      <c r="BA105" s="1008"/>
      <c r="BB105" s="1008"/>
      <c r="BC105" s="1008"/>
      <c r="BD105" s="1008"/>
      <c r="BE105" s="1008"/>
      <c r="BF105" s="1008"/>
      <c r="BG105" s="1008"/>
      <c r="BH105" s="1008"/>
      <c r="BI105" s="1008"/>
      <c r="BJ105" s="1008"/>
      <c r="BK105" s="1008"/>
      <c r="BL105" s="1008"/>
      <c r="BM105" s="1008">
        <f>+'[7]ENERO 2015'!$W$295</f>
        <v>69014856</v>
      </c>
      <c r="BN105" s="1008"/>
      <c r="BO105" s="1008"/>
      <c r="BP105" s="1008"/>
      <c r="BQ105" s="1011">
        <f t="shared" ref="BQ105:BQ174" si="105">1-AU105</f>
        <v>9.1909789473684222E-2</v>
      </c>
      <c r="BR105" s="1008">
        <f t="shared" ref="BR105:BR127" si="106">SUM(BS105:CL105)</f>
        <v>6985144</v>
      </c>
      <c r="BS105" s="1008">
        <f t="shared" ref="BS105:BS112" si="107">+Z105-AW105</f>
        <v>0</v>
      </c>
      <c r="BT105" s="1008">
        <f t="shared" ref="BT105:BT112" si="108">AA105-AX105</f>
        <v>0</v>
      </c>
      <c r="BU105" s="1008"/>
      <c r="BV105" s="1008">
        <f t="shared" ref="BV105:BV112" si="109">AC105-AZ105</f>
        <v>0</v>
      </c>
      <c r="BW105" s="1008"/>
      <c r="BX105" s="1008">
        <f t="shared" ref="BX105:BY110" si="110">+AE105-BB105</f>
        <v>0</v>
      </c>
      <c r="BY105" s="1008">
        <f t="shared" si="110"/>
        <v>0</v>
      </c>
      <c r="BZ105" s="1008"/>
      <c r="CA105" s="1008"/>
      <c r="CB105" s="1008"/>
      <c r="CC105" s="1008"/>
      <c r="CD105" s="1008">
        <f t="shared" ref="CD105:CI127" si="111">+AK105-BH105</f>
        <v>0</v>
      </c>
      <c r="CE105" s="1008">
        <f t="shared" si="111"/>
        <v>0</v>
      </c>
      <c r="CF105" s="1008">
        <f t="shared" si="111"/>
        <v>0</v>
      </c>
      <c r="CG105" s="1008">
        <f t="shared" si="111"/>
        <v>0</v>
      </c>
      <c r="CH105" s="1008">
        <f t="shared" si="111"/>
        <v>6985144</v>
      </c>
      <c r="CI105" s="1008">
        <f t="shared" si="111"/>
        <v>0</v>
      </c>
      <c r="CJ105" s="1008"/>
      <c r="CK105" s="1008"/>
      <c r="CL105" s="1008">
        <f t="shared" ref="CL105:CL112" si="112">+AS105-BP105</f>
        <v>0</v>
      </c>
      <c r="CM105" s="1011">
        <f t="shared" ref="CM105:CM175" si="113">+CN105/Y105</f>
        <v>0.78761338157894734</v>
      </c>
      <c r="CN105" s="1008">
        <f t="shared" ref="CN105:CN127" si="114">SUM(CO105:DH105)</f>
        <v>59858617</v>
      </c>
      <c r="CO105" s="1008"/>
      <c r="CP105" s="1008"/>
      <c r="CQ105" s="1008"/>
      <c r="CR105" s="1008"/>
      <c r="CS105" s="1008"/>
      <c r="CT105" s="1008"/>
      <c r="CU105" s="1008"/>
      <c r="CV105" s="1008"/>
      <c r="CW105" s="1008"/>
      <c r="CX105" s="1008"/>
      <c r="CY105" s="1008"/>
      <c r="CZ105" s="1008"/>
      <c r="DA105" s="1008"/>
      <c r="DB105" s="1008"/>
      <c r="DC105" s="1008"/>
      <c r="DD105" s="1008"/>
      <c r="DE105" s="1008">
        <f>+'[18]OCTUBRE 2015'!$H$1104</f>
        <v>59858617</v>
      </c>
      <c r="DF105" s="1008"/>
      <c r="DG105" s="1008"/>
      <c r="DH105" s="1008"/>
      <c r="DI105" s="1011">
        <f t="shared" ref="DI105:DI174" si="115">1-CM105</f>
        <v>0.21238661842105266</v>
      </c>
      <c r="DJ105" s="1008">
        <f t="shared" ref="DJ105:DJ127" si="116">SUM(DK105:ED105)</f>
        <v>16141383</v>
      </c>
      <c r="DK105" s="1008">
        <f>Z105-CO105</f>
        <v>0</v>
      </c>
      <c r="DL105" s="1008">
        <f>AA105-CP105</f>
        <v>0</v>
      </c>
      <c r="DM105" s="1008">
        <f>AB105-CQ105</f>
        <v>0</v>
      </c>
      <c r="DN105" s="1008">
        <f>AC105-CR105</f>
        <v>0</v>
      </c>
      <c r="DO105" s="1008"/>
      <c r="DP105" s="1008">
        <f t="shared" ref="DP105:DQ110" si="117">AE105-CT105</f>
        <v>0</v>
      </c>
      <c r="DQ105" s="1008">
        <f t="shared" si="117"/>
        <v>0</v>
      </c>
      <c r="DR105" s="1008"/>
      <c r="DS105" s="1008">
        <f t="shared" ref="DS105:DT110" si="118">+AH105-CW105</f>
        <v>0</v>
      </c>
      <c r="DT105" s="1008">
        <f t="shared" si="118"/>
        <v>0</v>
      </c>
      <c r="DU105" s="1008"/>
      <c r="DV105" s="1008">
        <f t="shared" ref="DV105:DX110" si="119">AK105-CZ105</f>
        <v>0</v>
      </c>
      <c r="DW105" s="1008">
        <f t="shared" si="119"/>
        <v>0</v>
      </c>
      <c r="DX105" s="1008">
        <f t="shared" si="119"/>
        <v>0</v>
      </c>
      <c r="DY105" s="1008">
        <f t="shared" ref="DY105:EB110" si="120">+AN105-DC105</f>
        <v>0</v>
      </c>
      <c r="DZ105" s="1008">
        <f t="shared" si="120"/>
        <v>6985144</v>
      </c>
      <c r="EA105" s="1008">
        <f t="shared" si="120"/>
        <v>9156239</v>
      </c>
      <c r="EB105" s="1008">
        <f t="shared" si="120"/>
        <v>0</v>
      </c>
      <c r="EC105" s="1008"/>
      <c r="ED105" s="1008">
        <f t="shared" ref="ED105:ED112" si="121">+AS105-DH105</f>
        <v>0</v>
      </c>
    </row>
    <row r="106" spans="1:134" s="948" customFormat="1" ht="33.75" hidden="1" customHeight="1" x14ac:dyDescent="0.25">
      <c r="A106" s="1559"/>
      <c r="B106" s="1019"/>
      <c r="C106" s="131" t="s">
        <v>4461</v>
      </c>
      <c r="D106" s="1019" t="s">
        <v>4632</v>
      </c>
      <c r="E106" s="1019">
        <v>301</v>
      </c>
      <c r="F106" s="1120" t="s">
        <v>4661</v>
      </c>
      <c r="G106" s="1400"/>
      <c r="H106" s="1061">
        <f t="shared" si="100"/>
        <v>52739455</v>
      </c>
      <c r="I106" s="1061">
        <f t="shared" si="101"/>
        <v>2260545</v>
      </c>
      <c r="J106" s="1399" t="s">
        <v>4905</v>
      </c>
      <c r="K106" s="1283" t="s">
        <v>4910</v>
      </c>
      <c r="L106" s="1283" t="s">
        <v>4917</v>
      </c>
      <c r="M106" s="1115">
        <v>24</v>
      </c>
      <c r="N106" s="1115">
        <v>34</v>
      </c>
      <c r="O106" s="1115">
        <v>8</v>
      </c>
      <c r="P106" s="1115">
        <v>36</v>
      </c>
      <c r="Q106" s="1115">
        <v>70</v>
      </c>
      <c r="R106" s="1115">
        <v>25</v>
      </c>
      <c r="S106" s="1120"/>
      <c r="T106" s="1120"/>
      <c r="U106" s="1120"/>
      <c r="V106" s="1120"/>
      <c r="W106" s="1120"/>
      <c r="X106" s="1120"/>
      <c r="Y106" s="1008">
        <f t="shared" si="102"/>
        <v>55000000</v>
      </c>
      <c r="Z106" s="1008"/>
      <c r="AA106" s="1008"/>
      <c r="AB106" s="1008"/>
      <c r="AC106" s="1008"/>
      <c r="AD106" s="1008"/>
      <c r="AE106" s="1008"/>
      <c r="AF106" s="1008"/>
      <c r="AG106" s="1008"/>
      <c r="AH106" s="1008"/>
      <c r="AI106" s="1008"/>
      <c r="AJ106" s="1008"/>
      <c r="AK106" s="1008"/>
      <c r="AL106" s="1008"/>
      <c r="AM106" s="1008"/>
      <c r="AN106" s="1008"/>
      <c r="AO106" s="1008"/>
      <c r="AP106" s="1008">
        <v>55000000</v>
      </c>
      <c r="AQ106" s="1008"/>
      <c r="AR106" s="1008"/>
      <c r="AS106" s="1008"/>
      <c r="AU106" s="1011">
        <f t="shared" si="103"/>
        <v>1</v>
      </c>
      <c r="AV106" s="1008">
        <f t="shared" si="104"/>
        <v>55000000</v>
      </c>
      <c r="AW106" s="1008"/>
      <c r="AX106" s="1008"/>
      <c r="AY106" s="1008"/>
      <c r="AZ106" s="1008"/>
      <c r="BA106" s="1008"/>
      <c r="BB106" s="1008"/>
      <c r="BC106" s="1008"/>
      <c r="BD106" s="1008"/>
      <c r="BE106" s="1008"/>
      <c r="BF106" s="1008"/>
      <c r="BG106" s="1008"/>
      <c r="BH106" s="1008"/>
      <c r="BI106" s="1008"/>
      <c r="BJ106" s="1008"/>
      <c r="BK106" s="1008"/>
      <c r="BL106" s="1008"/>
      <c r="BM106" s="1008">
        <f>+'[7]ENERO 2015'!$W$301</f>
        <v>55000000</v>
      </c>
      <c r="BN106" s="1008"/>
      <c r="BO106" s="1008"/>
      <c r="BP106" s="1008"/>
      <c r="BQ106" s="1011">
        <f t="shared" si="105"/>
        <v>0</v>
      </c>
      <c r="BR106" s="1008">
        <f t="shared" si="106"/>
        <v>0</v>
      </c>
      <c r="BS106" s="1008">
        <f t="shared" si="107"/>
        <v>0</v>
      </c>
      <c r="BT106" s="1008">
        <f t="shared" si="108"/>
        <v>0</v>
      </c>
      <c r="BU106" s="1008"/>
      <c r="BV106" s="1008">
        <f t="shared" si="109"/>
        <v>0</v>
      </c>
      <c r="BW106" s="1008"/>
      <c r="BX106" s="1008">
        <f t="shared" si="110"/>
        <v>0</v>
      </c>
      <c r="BY106" s="1008">
        <f t="shared" si="110"/>
        <v>0</v>
      </c>
      <c r="BZ106" s="1008"/>
      <c r="CA106" s="1008"/>
      <c r="CB106" s="1008"/>
      <c r="CC106" s="1008"/>
      <c r="CD106" s="1008">
        <f t="shared" si="111"/>
        <v>0</v>
      </c>
      <c r="CE106" s="1008">
        <f t="shared" si="111"/>
        <v>0</v>
      </c>
      <c r="CF106" s="1008">
        <f t="shared" si="111"/>
        <v>0</v>
      </c>
      <c r="CG106" s="1008">
        <f t="shared" si="111"/>
        <v>0</v>
      </c>
      <c r="CH106" s="1008">
        <f t="shared" si="111"/>
        <v>0</v>
      </c>
      <c r="CI106" s="1008">
        <f t="shared" si="111"/>
        <v>0</v>
      </c>
      <c r="CJ106" s="1008"/>
      <c r="CK106" s="1008"/>
      <c r="CL106" s="1008">
        <f t="shared" si="112"/>
        <v>0</v>
      </c>
      <c r="CM106" s="1011">
        <f t="shared" si="113"/>
        <v>0.95889918181818179</v>
      </c>
      <c r="CN106" s="1008">
        <f t="shared" si="114"/>
        <v>52739455</v>
      </c>
      <c r="CO106" s="1008"/>
      <c r="CP106" s="1008"/>
      <c r="CQ106" s="1008"/>
      <c r="CR106" s="1008"/>
      <c r="CS106" s="1008"/>
      <c r="CT106" s="1008"/>
      <c r="CU106" s="1008"/>
      <c r="CV106" s="1008"/>
      <c r="CW106" s="1008"/>
      <c r="CX106" s="1008"/>
      <c r="CY106" s="1008"/>
      <c r="CZ106" s="1008"/>
      <c r="DA106" s="1008"/>
      <c r="DB106" s="1008"/>
      <c r="DC106" s="1008"/>
      <c r="DD106" s="1008"/>
      <c r="DE106" s="1008">
        <f>+'[17]SEPTIEMBRE 2015'!$H$978</f>
        <v>52739455</v>
      </c>
      <c r="DF106" s="1008"/>
      <c r="DG106" s="1008"/>
      <c r="DH106" s="1008"/>
      <c r="DI106" s="1011">
        <f t="shared" si="115"/>
        <v>4.1100818181818211E-2</v>
      </c>
      <c r="DJ106" s="1008">
        <f t="shared" si="116"/>
        <v>2260545</v>
      </c>
      <c r="DK106" s="1008">
        <f t="shared" ref="DK106:DK112" si="122">Z106-CO106</f>
        <v>0</v>
      </c>
      <c r="DL106" s="1008"/>
      <c r="DM106" s="1008"/>
      <c r="DN106" s="1008">
        <f>AC106-CR106</f>
        <v>0</v>
      </c>
      <c r="DO106" s="1008"/>
      <c r="DP106" s="1008">
        <f t="shared" si="117"/>
        <v>0</v>
      </c>
      <c r="DQ106" s="1008">
        <f t="shared" si="117"/>
        <v>0</v>
      </c>
      <c r="DR106" s="1008"/>
      <c r="DS106" s="1008">
        <f t="shared" si="118"/>
        <v>0</v>
      </c>
      <c r="DT106" s="1008">
        <f t="shared" si="118"/>
        <v>0</v>
      </c>
      <c r="DU106" s="1008"/>
      <c r="DV106" s="1008">
        <f t="shared" si="119"/>
        <v>0</v>
      </c>
      <c r="DW106" s="1008">
        <f t="shared" si="119"/>
        <v>0</v>
      </c>
      <c r="DX106" s="1008">
        <f t="shared" si="119"/>
        <v>0</v>
      </c>
      <c r="DY106" s="1008">
        <f t="shared" si="120"/>
        <v>0</v>
      </c>
      <c r="DZ106" s="1008">
        <f t="shared" si="120"/>
        <v>0</v>
      </c>
      <c r="EA106" s="1008">
        <f t="shared" si="120"/>
        <v>2260545</v>
      </c>
      <c r="EB106" s="1008">
        <f t="shared" si="120"/>
        <v>0</v>
      </c>
      <c r="EC106" s="1008"/>
      <c r="ED106" s="1008">
        <f t="shared" si="121"/>
        <v>0</v>
      </c>
    </row>
    <row r="107" spans="1:134" s="948" customFormat="1" ht="35.25" hidden="1" customHeight="1" x14ac:dyDescent="0.25">
      <c r="A107" s="1559"/>
      <c r="B107" s="1019"/>
      <c r="C107" s="131" t="s">
        <v>4462</v>
      </c>
      <c r="D107" s="1019" t="s">
        <v>4633</v>
      </c>
      <c r="E107" s="1019">
        <v>301</v>
      </c>
      <c r="F107" s="1120" t="s">
        <v>4661</v>
      </c>
      <c r="G107" s="1400"/>
      <c r="H107" s="1061">
        <f t="shared" si="100"/>
        <v>57332905</v>
      </c>
      <c r="I107" s="1061">
        <f t="shared" si="101"/>
        <v>2667095</v>
      </c>
      <c r="J107" s="1401"/>
      <c r="K107" s="1284"/>
      <c r="L107" s="1284"/>
      <c r="M107" s="1115">
        <v>44</v>
      </c>
      <c r="N107" s="1115">
        <v>23</v>
      </c>
      <c r="O107" s="1115">
        <v>10</v>
      </c>
      <c r="P107" s="1115">
        <v>44</v>
      </c>
      <c r="Q107" s="1115">
        <v>52</v>
      </c>
      <c r="R107" s="1115">
        <v>23</v>
      </c>
      <c r="S107" s="1120"/>
      <c r="T107" s="1120"/>
      <c r="U107" s="1120"/>
      <c r="V107" s="1120"/>
      <c r="W107" s="1120"/>
      <c r="X107" s="1120"/>
      <c r="Y107" s="1008">
        <f t="shared" si="102"/>
        <v>60000000</v>
      </c>
      <c r="Z107" s="1008"/>
      <c r="AA107" s="1008"/>
      <c r="AB107" s="1008"/>
      <c r="AC107" s="1008"/>
      <c r="AD107" s="1008"/>
      <c r="AE107" s="1008"/>
      <c r="AF107" s="1008"/>
      <c r="AG107" s="1008"/>
      <c r="AH107" s="1008"/>
      <c r="AI107" s="1008"/>
      <c r="AJ107" s="1008"/>
      <c r="AK107" s="1008"/>
      <c r="AL107" s="1008"/>
      <c r="AM107" s="1008"/>
      <c r="AN107" s="1008"/>
      <c r="AO107" s="1008"/>
      <c r="AP107" s="1008">
        <v>60000000</v>
      </c>
      <c r="AQ107" s="1008"/>
      <c r="AR107" s="1008"/>
      <c r="AS107" s="1008"/>
      <c r="AU107" s="1011">
        <f t="shared" si="103"/>
        <v>1</v>
      </c>
      <c r="AV107" s="1008">
        <f t="shared" si="104"/>
        <v>60000000</v>
      </c>
      <c r="AW107" s="1008"/>
      <c r="AX107" s="1008"/>
      <c r="AY107" s="1008"/>
      <c r="AZ107" s="1008"/>
      <c r="BA107" s="1008"/>
      <c r="BB107" s="1008"/>
      <c r="BC107" s="1008"/>
      <c r="BD107" s="1008"/>
      <c r="BE107" s="1008"/>
      <c r="BF107" s="1008"/>
      <c r="BG107" s="1008"/>
      <c r="BH107" s="1008"/>
      <c r="BI107" s="1008"/>
      <c r="BJ107" s="1008"/>
      <c r="BK107" s="1008"/>
      <c r="BL107" s="1008"/>
      <c r="BM107" s="1008">
        <f>+'[7]ENERO 2015'!$G$305</f>
        <v>60000000</v>
      </c>
      <c r="BN107" s="1008"/>
      <c r="BO107" s="1008"/>
      <c r="BP107" s="1008"/>
      <c r="BQ107" s="1011">
        <f t="shared" si="105"/>
        <v>0</v>
      </c>
      <c r="BR107" s="1008">
        <f t="shared" si="106"/>
        <v>0</v>
      </c>
      <c r="BS107" s="1008">
        <f t="shared" si="107"/>
        <v>0</v>
      </c>
      <c r="BT107" s="1008">
        <f t="shared" si="108"/>
        <v>0</v>
      </c>
      <c r="BU107" s="1008"/>
      <c r="BV107" s="1008">
        <f t="shared" si="109"/>
        <v>0</v>
      </c>
      <c r="BW107" s="1008"/>
      <c r="BX107" s="1008">
        <f t="shared" si="110"/>
        <v>0</v>
      </c>
      <c r="BY107" s="1008">
        <f t="shared" si="110"/>
        <v>0</v>
      </c>
      <c r="BZ107" s="1008"/>
      <c r="CA107" s="1008"/>
      <c r="CB107" s="1008"/>
      <c r="CC107" s="1008"/>
      <c r="CD107" s="1008">
        <f t="shared" si="111"/>
        <v>0</v>
      </c>
      <c r="CE107" s="1008">
        <f t="shared" si="111"/>
        <v>0</v>
      </c>
      <c r="CF107" s="1008">
        <f t="shared" si="111"/>
        <v>0</v>
      </c>
      <c r="CG107" s="1008">
        <f t="shared" si="111"/>
        <v>0</v>
      </c>
      <c r="CH107" s="1008">
        <f t="shared" si="111"/>
        <v>0</v>
      </c>
      <c r="CI107" s="1008">
        <f t="shared" si="111"/>
        <v>0</v>
      </c>
      <c r="CJ107" s="1008"/>
      <c r="CK107" s="1008"/>
      <c r="CL107" s="1008">
        <f t="shared" si="112"/>
        <v>0</v>
      </c>
      <c r="CM107" s="1011">
        <f t="shared" si="113"/>
        <v>0.95554841666666668</v>
      </c>
      <c r="CN107" s="1008">
        <f t="shared" si="114"/>
        <v>57332905</v>
      </c>
      <c r="CO107" s="1008"/>
      <c r="CP107" s="1008"/>
      <c r="CQ107" s="1008"/>
      <c r="CR107" s="1008"/>
      <c r="CS107" s="1008"/>
      <c r="CT107" s="1008"/>
      <c r="CU107" s="1008"/>
      <c r="CV107" s="1008"/>
      <c r="CW107" s="1008"/>
      <c r="CX107" s="1008"/>
      <c r="CY107" s="1008"/>
      <c r="CZ107" s="1008"/>
      <c r="DA107" s="1008"/>
      <c r="DB107" s="1008"/>
      <c r="DC107" s="1008"/>
      <c r="DD107" s="1008"/>
      <c r="DE107" s="1008">
        <f>+'[17]SEPTIEMBRE 2015'!$H$992</f>
        <v>57332905</v>
      </c>
      <c r="DF107" s="1008"/>
      <c r="DG107" s="1008"/>
      <c r="DH107" s="1008"/>
      <c r="DI107" s="1011">
        <f t="shared" si="115"/>
        <v>4.4451583333333322E-2</v>
      </c>
      <c r="DJ107" s="1008">
        <f t="shared" si="116"/>
        <v>2667095</v>
      </c>
      <c r="DK107" s="1008">
        <f t="shared" si="122"/>
        <v>0</v>
      </c>
      <c r="DL107" s="1008"/>
      <c r="DM107" s="1008"/>
      <c r="DN107" s="1008">
        <f>AC107-CR107</f>
        <v>0</v>
      </c>
      <c r="DO107" s="1008"/>
      <c r="DP107" s="1008">
        <f t="shared" si="117"/>
        <v>0</v>
      </c>
      <c r="DQ107" s="1008">
        <f t="shared" si="117"/>
        <v>0</v>
      </c>
      <c r="DR107" s="1008"/>
      <c r="DS107" s="1008">
        <f t="shared" si="118"/>
        <v>0</v>
      </c>
      <c r="DT107" s="1008">
        <f t="shared" si="118"/>
        <v>0</v>
      </c>
      <c r="DU107" s="1008"/>
      <c r="DV107" s="1008">
        <f t="shared" si="119"/>
        <v>0</v>
      </c>
      <c r="DW107" s="1008">
        <f t="shared" si="119"/>
        <v>0</v>
      </c>
      <c r="DX107" s="1008">
        <f t="shared" si="119"/>
        <v>0</v>
      </c>
      <c r="DY107" s="1008">
        <f t="shared" si="120"/>
        <v>0</v>
      </c>
      <c r="DZ107" s="1008">
        <f t="shared" si="120"/>
        <v>0</v>
      </c>
      <c r="EA107" s="1008">
        <f t="shared" si="120"/>
        <v>2667095</v>
      </c>
      <c r="EB107" s="1008">
        <f t="shared" si="120"/>
        <v>0</v>
      </c>
      <c r="EC107" s="1008"/>
      <c r="ED107" s="1008">
        <f t="shared" si="121"/>
        <v>0</v>
      </c>
    </row>
    <row r="108" spans="1:134" ht="44.25" hidden="1" customHeight="1" x14ac:dyDescent="0.25">
      <c r="A108" s="1559"/>
      <c r="B108" s="1019"/>
      <c r="C108" s="131" t="s">
        <v>4463</v>
      </c>
      <c r="D108" s="1019" t="s">
        <v>4441</v>
      </c>
      <c r="E108" s="1019">
        <v>301</v>
      </c>
      <c r="F108" s="1120" t="s">
        <v>4738</v>
      </c>
      <c r="G108" s="1400"/>
      <c r="H108" s="1061">
        <f t="shared" si="100"/>
        <v>21234417</v>
      </c>
      <c r="I108" s="1061">
        <f t="shared" si="101"/>
        <v>12765583</v>
      </c>
      <c r="J108" s="1120" t="s">
        <v>4906</v>
      </c>
      <c r="K108" s="1115" t="s">
        <v>4911</v>
      </c>
      <c r="L108" s="1115" t="s">
        <v>4918</v>
      </c>
      <c r="M108" s="1115">
        <v>0</v>
      </c>
      <c r="N108" s="1115">
        <v>0</v>
      </c>
      <c r="O108" s="1115">
        <v>0</v>
      </c>
      <c r="P108" s="1115">
        <v>41</v>
      </c>
      <c r="Q108" s="1115">
        <v>10</v>
      </c>
      <c r="R108" s="1115">
        <v>4</v>
      </c>
      <c r="S108" s="1120"/>
      <c r="T108" s="1120"/>
      <c r="U108" s="1120"/>
      <c r="V108" s="1120"/>
      <c r="W108" s="1120"/>
      <c r="X108" s="1120"/>
      <c r="Y108" s="1008">
        <f t="shared" si="102"/>
        <v>34000000</v>
      </c>
      <c r="Z108" s="1008"/>
      <c r="AA108" s="1008"/>
      <c r="AB108" s="1008"/>
      <c r="AC108" s="1008"/>
      <c r="AD108" s="1008"/>
      <c r="AE108" s="1008"/>
      <c r="AF108" s="1008"/>
      <c r="AG108" s="1008"/>
      <c r="AH108" s="1008"/>
      <c r="AI108" s="1008"/>
      <c r="AJ108" s="1008"/>
      <c r="AK108" s="1008"/>
      <c r="AL108" s="1008"/>
      <c r="AM108" s="1008"/>
      <c r="AN108" s="1008"/>
      <c r="AO108" s="1008"/>
      <c r="AP108" s="1008"/>
      <c r="AQ108" s="1008"/>
      <c r="AR108" s="1008"/>
      <c r="AS108" s="1008">
        <f>6000000+15000000+4000000+9000000</f>
        <v>34000000</v>
      </c>
      <c r="AU108" s="1011">
        <f t="shared" si="103"/>
        <v>0.8529411764705882</v>
      </c>
      <c r="AV108" s="1008">
        <f t="shared" si="104"/>
        <v>29000000</v>
      </c>
      <c r="AW108" s="1008"/>
      <c r="AX108" s="1008"/>
      <c r="AY108" s="1008"/>
      <c r="AZ108" s="1008"/>
      <c r="BA108" s="1008"/>
      <c r="BB108" s="1008"/>
      <c r="BC108" s="1008"/>
      <c r="BD108" s="1008"/>
      <c r="BE108" s="1008"/>
      <c r="BF108" s="1008"/>
      <c r="BG108" s="1008"/>
      <c r="BH108" s="1008"/>
      <c r="BI108" s="1008"/>
      <c r="BJ108" s="1008"/>
      <c r="BK108" s="1008"/>
      <c r="BL108" s="1008"/>
      <c r="BM108" s="1008"/>
      <c r="BN108" s="1008"/>
      <c r="BO108" s="1008"/>
      <c r="BP108" s="1008">
        <f>+'[15]JULIO 2015'!$AD$771</f>
        <v>29000000</v>
      </c>
      <c r="BQ108" s="1011">
        <f t="shared" si="105"/>
        <v>0.1470588235294118</v>
      </c>
      <c r="BR108" s="1008">
        <f t="shared" si="106"/>
        <v>5000000</v>
      </c>
      <c r="BS108" s="1008">
        <f t="shared" si="107"/>
        <v>0</v>
      </c>
      <c r="BT108" s="1008">
        <f t="shared" si="108"/>
        <v>0</v>
      </c>
      <c r="BU108" s="1008"/>
      <c r="BV108" s="1008">
        <f t="shared" si="109"/>
        <v>0</v>
      </c>
      <c r="BW108" s="1008"/>
      <c r="BX108" s="1008">
        <f t="shared" si="110"/>
        <v>0</v>
      </c>
      <c r="BY108" s="1008">
        <f t="shared" si="110"/>
        <v>0</v>
      </c>
      <c r="BZ108" s="1008"/>
      <c r="CA108" s="1008">
        <f t="shared" ref="CA108:CC110" si="123">+AH108-BE108</f>
        <v>0</v>
      </c>
      <c r="CB108" s="1008">
        <f t="shared" si="123"/>
        <v>0</v>
      </c>
      <c r="CC108" s="1008">
        <f t="shared" si="123"/>
        <v>0</v>
      </c>
      <c r="CD108" s="1008">
        <f t="shared" si="111"/>
        <v>0</v>
      </c>
      <c r="CE108" s="1008">
        <f t="shared" si="111"/>
        <v>0</v>
      </c>
      <c r="CF108" s="1008">
        <f t="shared" si="111"/>
        <v>0</v>
      </c>
      <c r="CG108" s="1008">
        <f t="shared" si="111"/>
        <v>0</v>
      </c>
      <c r="CH108" s="1008">
        <f t="shared" si="111"/>
        <v>0</v>
      </c>
      <c r="CI108" s="1008">
        <f t="shared" si="111"/>
        <v>0</v>
      </c>
      <c r="CJ108" s="1008"/>
      <c r="CK108" s="1008"/>
      <c r="CL108" s="1008">
        <f t="shared" si="112"/>
        <v>5000000</v>
      </c>
      <c r="CM108" s="1011">
        <f t="shared" si="113"/>
        <v>0.62454167647058823</v>
      </c>
      <c r="CN108" s="1008">
        <f t="shared" si="114"/>
        <v>21234417</v>
      </c>
      <c r="CO108" s="1008"/>
      <c r="CP108" s="1008"/>
      <c r="CQ108" s="1008"/>
      <c r="CR108" s="1008"/>
      <c r="CS108" s="1008"/>
      <c r="CT108" s="1008"/>
      <c r="CU108" s="1008"/>
      <c r="CV108" s="1008"/>
      <c r="CW108" s="1008"/>
      <c r="CX108" s="1008"/>
      <c r="CY108" s="1008"/>
      <c r="CZ108" s="1008"/>
      <c r="DA108" s="1008"/>
      <c r="DB108" s="1008"/>
      <c r="DC108" s="1008"/>
      <c r="DD108" s="1008"/>
      <c r="DE108" s="1008"/>
      <c r="DF108" s="1008"/>
      <c r="DG108" s="1008"/>
      <c r="DH108" s="1008">
        <f>+'[17]SEPTIEMBRE 2015'!$H$1006</f>
        <v>21234417</v>
      </c>
      <c r="DI108" s="1011">
        <f t="shared" si="115"/>
        <v>0.37545832352941177</v>
      </c>
      <c r="DJ108" s="1008">
        <f t="shared" si="116"/>
        <v>12765583</v>
      </c>
      <c r="DK108" s="1008">
        <f t="shared" si="122"/>
        <v>0</v>
      </c>
      <c r="DL108" s="1008"/>
      <c r="DM108" s="1008"/>
      <c r="DN108" s="1008">
        <f>AC108-CR108</f>
        <v>0</v>
      </c>
      <c r="DO108" s="1008"/>
      <c r="DP108" s="1008">
        <f t="shared" si="117"/>
        <v>0</v>
      </c>
      <c r="DQ108" s="1008">
        <f t="shared" si="117"/>
        <v>0</v>
      </c>
      <c r="DR108" s="1008"/>
      <c r="DS108" s="1008">
        <f t="shared" si="118"/>
        <v>0</v>
      </c>
      <c r="DT108" s="1008">
        <f t="shared" si="118"/>
        <v>0</v>
      </c>
      <c r="DU108" s="1008"/>
      <c r="DV108" s="1008">
        <f t="shared" si="119"/>
        <v>0</v>
      </c>
      <c r="DW108" s="1008">
        <f t="shared" si="119"/>
        <v>0</v>
      </c>
      <c r="DX108" s="1008">
        <f t="shared" si="119"/>
        <v>0</v>
      </c>
      <c r="DY108" s="1008">
        <f t="shared" si="120"/>
        <v>0</v>
      </c>
      <c r="DZ108" s="1008">
        <f t="shared" si="120"/>
        <v>0</v>
      </c>
      <c r="EA108" s="1008">
        <f t="shared" si="120"/>
        <v>0</v>
      </c>
      <c r="EB108" s="1008">
        <f t="shared" si="120"/>
        <v>0</v>
      </c>
      <c r="EC108" s="1008"/>
      <c r="ED108" s="1008">
        <f t="shared" si="121"/>
        <v>12765583</v>
      </c>
    </row>
    <row r="109" spans="1:134" ht="48.75" hidden="1" customHeight="1" x14ac:dyDescent="0.25">
      <c r="A109" s="1559"/>
      <c r="B109" s="1019"/>
      <c r="C109" s="131" t="s">
        <v>4464</v>
      </c>
      <c r="D109" s="1019" t="s">
        <v>4458</v>
      </c>
      <c r="E109" s="1019">
        <v>301</v>
      </c>
      <c r="F109" s="1120" t="s">
        <v>4661</v>
      </c>
      <c r="G109" s="1400"/>
      <c r="H109" s="1061">
        <f t="shared" si="100"/>
        <v>0</v>
      </c>
      <c r="I109" s="1061">
        <f t="shared" si="101"/>
        <v>24000000</v>
      </c>
      <c r="J109" s="1120" t="s">
        <v>4907</v>
      </c>
      <c r="K109" s="1115" t="s">
        <v>4912</v>
      </c>
      <c r="L109" s="1115" t="s">
        <v>4919</v>
      </c>
      <c r="M109" s="1115">
        <v>0</v>
      </c>
      <c r="N109" s="1115">
        <v>0</v>
      </c>
      <c r="O109" s="1115">
        <v>0</v>
      </c>
      <c r="P109" s="1115">
        <v>0</v>
      </c>
      <c r="Q109" s="1115">
        <v>0</v>
      </c>
      <c r="R109" s="1115">
        <v>0</v>
      </c>
      <c r="S109" s="1120"/>
      <c r="T109" s="1120"/>
      <c r="U109" s="1120"/>
      <c r="V109" s="1120"/>
      <c r="W109" s="1120"/>
      <c r="X109" s="1120"/>
      <c r="Y109" s="1008">
        <f t="shared" si="102"/>
        <v>24000000</v>
      </c>
      <c r="Z109" s="1008"/>
      <c r="AA109" s="1008"/>
      <c r="AB109" s="1008"/>
      <c r="AC109" s="1008"/>
      <c r="AD109" s="1008"/>
      <c r="AE109" s="1008"/>
      <c r="AF109" s="1008"/>
      <c r="AG109" s="1008"/>
      <c r="AH109" s="1008"/>
      <c r="AI109" s="1008"/>
      <c r="AJ109" s="1008"/>
      <c r="AK109" s="1008"/>
      <c r="AL109" s="1008"/>
      <c r="AM109" s="1008"/>
      <c r="AN109" s="1008"/>
      <c r="AO109" s="1008"/>
      <c r="AP109" s="1008">
        <v>24000000</v>
      </c>
      <c r="AQ109" s="1008"/>
      <c r="AR109" s="1008"/>
      <c r="AS109" s="1008"/>
      <c r="AU109" s="1011">
        <f t="shared" si="103"/>
        <v>0</v>
      </c>
      <c r="AV109" s="1008">
        <f t="shared" si="104"/>
        <v>0</v>
      </c>
      <c r="AW109" s="1008"/>
      <c r="AX109" s="1008"/>
      <c r="AY109" s="1008"/>
      <c r="AZ109" s="1008"/>
      <c r="BA109" s="1008"/>
      <c r="BB109" s="1008"/>
      <c r="BC109" s="1008"/>
      <c r="BD109" s="1008"/>
      <c r="BE109" s="1008"/>
      <c r="BF109" s="1008"/>
      <c r="BG109" s="1008"/>
      <c r="BH109" s="1008"/>
      <c r="BI109" s="1008"/>
      <c r="BJ109" s="1008"/>
      <c r="BK109" s="1008"/>
      <c r="BL109" s="1008"/>
      <c r="BM109" s="1008"/>
      <c r="BN109" s="1008"/>
      <c r="BO109" s="1008"/>
      <c r="BP109" s="1008"/>
      <c r="BQ109" s="1011">
        <f t="shared" si="105"/>
        <v>1</v>
      </c>
      <c r="BR109" s="1008">
        <f t="shared" si="106"/>
        <v>24000000</v>
      </c>
      <c r="BS109" s="1008">
        <f t="shared" si="107"/>
        <v>0</v>
      </c>
      <c r="BT109" s="1008">
        <f t="shared" si="108"/>
        <v>0</v>
      </c>
      <c r="BU109" s="1008"/>
      <c r="BV109" s="1008">
        <f t="shared" si="109"/>
        <v>0</v>
      </c>
      <c r="BW109" s="1008"/>
      <c r="BX109" s="1008">
        <f t="shared" si="110"/>
        <v>0</v>
      </c>
      <c r="BY109" s="1008">
        <f t="shared" si="110"/>
        <v>0</v>
      </c>
      <c r="BZ109" s="1008"/>
      <c r="CA109" s="1008">
        <f t="shared" si="123"/>
        <v>0</v>
      </c>
      <c r="CB109" s="1008">
        <f t="shared" si="123"/>
        <v>0</v>
      </c>
      <c r="CC109" s="1008">
        <f t="shared" si="123"/>
        <v>0</v>
      </c>
      <c r="CD109" s="1008">
        <f t="shared" si="111"/>
        <v>0</v>
      </c>
      <c r="CE109" s="1008">
        <f t="shared" si="111"/>
        <v>0</v>
      </c>
      <c r="CF109" s="1008">
        <f t="shared" si="111"/>
        <v>0</v>
      </c>
      <c r="CG109" s="1008">
        <f t="shared" si="111"/>
        <v>0</v>
      </c>
      <c r="CH109" s="1008">
        <f t="shared" si="111"/>
        <v>0</v>
      </c>
      <c r="CI109" s="1008">
        <f t="shared" si="111"/>
        <v>24000000</v>
      </c>
      <c r="CJ109" s="1008"/>
      <c r="CK109" s="1008"/>
      <c r="CL109" s="1008">
        <f t="shared" si="112"/>
        <v>0</v>
      </c>
      <c r="CM109" s="1011">
        <f t="shared" si="113"/>
        <v>0</v>
      </c>
      <c r="CN109" s="1008">
        <f t="shared" si="114"/>
        <v>0</v>
      </c>
      <c r="CO109" s="1008"/>
      <c r="CP109" s="1008"/>
      <c r="CQ109" s="1008"/>
      <c r="CR109" s="1008"/>
      <c r="CS109" s="1008"/>
      <c r="CT109" s="1008"/>
      <c r="CU109" s="1008"/>
      <c r="CV109" s="1008"/>
      <c r="CW109" s="1008"/>
      <c r="CX109" s="1008"/>
      <c r="CY109" s="1008"/>
      <c r="CZ109" s="1008"/>
      <c r="DA109" s="1008"/>
      <c r="DB109" s="1008"/>
      <c r="DC109" s="1008"/>
      <c r="DD109" s="1008"/>
      <c r="DE109" s="1008"/>
      <c r="DF109" s="1008"/>
      <c r="DG109" s="1008"/>
      <c r="DH109" s="1008"/>
      <c r="DI109" s="1011">
        <f t="shared" si="115"/>
        <v>1</v>
      </c>
      <c r="DJ109" s="1008">
        <f t="shared" si="116"/>
        <v>24000000</v>
      </c>
      <c r="DK109" s="1008">
        <f t="shared" si="122"/>
        <v>0</v>
      </c>
      <c r="DL109" s="1008"/>
      <c r="DM109" s="1008"/>
      <c r="DN109" s="1008">
        <f>AC109-CR109</f>
        <v>0</v>
      </c>
      <c r="DO109" s="1008"/>
      <c r="DP109" s="1008">
        <f t="shared" si="117"/>
        <v>0</v>
      </c>
      <c r="DQ109" s="1008">
        <f t="shared" si="117"/>
        <v>0</v>
      </c>
      <c r="DR109" s="1008"/>
      <c r="DS109" s="1008">
        <f t="shared" si="118"/>
        <v>0</v>
      </c>
      <c r="DT109" s="1008">
        <f t="shared" si="118"/>
        <v>0</v>
      </c>
      <c r="DU109" s="1008"/>
      <c r="DV109" s="1008">
        <f t="shared" si="119"/>
        <v>0</v>
      </c>
      <c r="DW109" s="1008">
        <f t="shared" si="119"/>
        <v>0</v>
      </c>
      <c r="DX109" s="1008">
        <f t="shared" si="119"/>
        <v>0</v>
      </c>
      <c r="DY109" s="1008">
        <f t="shared" si="120"/>
        <v>0</v>
      </c>
      <c r="DZ109" s="1008">
        <f t="shared" si="120"/>
        <v>0</v>
      </c>
      <c r="EA109" s="1008">
        <f t="shared" si="120"/>
        <v>24000000</v>
      </c>
      <c r="EB109" s="1008">
        <f t="shared" si="120"/>
        <v>0</v>
      </c>
      <c r="EC109" s="1008"/>
      <c r="ED109" s="1008">
        <f t="shared" si="121"/>
        <v>0</v>
      </c>
    </row>
    <row r="110" spans="1:134" ht="33" hidden="1" customHeight="1" x14ac:dyDescent="0.25">
      <c r="A110" s="1559"/>
      <c r="B110" s="1019"/>
      <c r="C110" s="131" t="s">
        <v>4465</v>
      </c>
      <c r="D110" s="1019" t="s">
        <v>4457</v>
      </c>
      <c r="E110" s="1019">
        <v>301</v>
      </c>
      <c r="F110" s="1120" t="s">
        <v>4661</v>
      </c>
      <c r="G110" s="1400"/>
      <c r="H110" s="1061">
        <f t="shared" si="100"/>
        <v>38337795</v>
      </c>
      <c r="I110" s="1061">
        <f t="shared" si="101"/>
        <v>46662205</v>
      </c>
      <c r="J110" s="1399" t="s">
        <v>4908</v>
      </c>
      <c r="K110" s="1283" t="s">
        <v>4913</v>
      </c>
      <c r="L110" s="1283" t="s">
        <v>4920</v>
      </c>
      <c r="M110" s="1115">
        <v>10</v>
      </c>
      <c r="N110" s="1115">
        <v>0</v>
      </c>
      <c r="O110" s="1115">
        <v>0</v>
      </c>
      <c r="P110" s="1115">
        <v>24</v>
      </c>
      <c r="Q110" s="1115">
        <v>12</v>
      </c>
      <c r="R110" s="1115">
        <v>3</v>
      </c>
      <c r="S110" s="1120"/>
      <c r="T110" s="1120"/>
      <c r="U110" s="1120"/>
      <c r="V110" s="1120"/>
      <c r="W110" s="1120"/>
      <c r="X110" s="1120"/>
      <c r="Y110" s="1008">
        <f t="shared" si="102"/>
        <v>85000000</v>
      </c>
      <c r="Z110" s="1008"/>
      <c r="AA110" s="1008"/>
      <c r="AB110" s="1008"/>
      <c r="AC110" s="1008"/>
      <c r="AD110" s="1008"/>
      <c r="AE110" s="1008"/>
      <c r="AF110" s="1008"/>
      <c r="AG110" s="1008"/>
      <c r="AH110" s="1008"/>
      <c r="AI110" s="1008"/>
      <c r="AJ110" s="1008"/>
      <c r="AK110" s="1008"/>
      <c r="AL110" s="1008"/>
      <c r="AM110" s="1008">
        <v>11406867</v>
      </c>
      <c r="AN110" s="1008"/>
      <c r="AO110" s="1008"/>
      <c r="AP110" s="1008">
        <v>73593133</v>
      </c>
      <c r="AQ110" s="1008"/>
      <c r="AR110" s="1008"/>
      <c r="AS110" s="1008"/>
      <c r="AU110" s="1011">
        <f t="shared" si="103"/>
        <v>1</v>
      </c>
      <c r="AV110" s="1008">
        <f t="shared" si="104"/>
        <v>85000000</v>
      </c>
      <c r="AW110" s="1008"/>
      <c r="AX110" s="1008"/>
      <c r="AY110" s="1008"/>
      <c r="AZ110" s="1008"/>
      <c r="BA110" s="1008"/>
      <c r="BB110" s="1008"/>
      <c r="BC110" s="1008"/>
      <c r="BD110" s="1008"/>
      <c r="BE110" s="1008"/>
      <c r="BF110" s="1008"/>
      <c r="BG110" s="1008"/>
      <c r="BH110" s="1008"/>
      <c r="BI110" s="1008"/>
      <c r="BJ110" s="1008">
        <f>+'[18]OCTUBRE 2015'!$W$1188</f>
        <v>11406867</v>
      </c>
      <c r="BK110" s="1008"/>
      <c r="BL110" s="1008"/>
      <c r="BM110" s="1008">
        <f>+'[18]OCTUBRE 2015'!$Z$1188</f>
        <v>73593133</v>
      </c>
      <c r="BN110" s="1008"/>
      <c r="BO110" s="1008"/>
      <c r="BP110" s="1008"/>
      <c r="BQ110" s="1011">
        <f t="shared" si="105"/>
        <v>0</v>
      </c>
      <c r="BR110" s="1008">
        <f t="shared" si="106"/>
        <v>0</v>
      </c>
      <c r="BS110" s="1008">
        <f t="shared" si="107"/>
        <v>0</v>
      </c>
      <c r="BT110" s="1008">
        <f t="shared" si="108"/>
        <v>0</v>
      </c>
      <c r="BU110" s="1008"/>
      <c r="BV110" s="1008">
        <f t="shared" si="109"/>
        <v>0</v>
      </c>
      <c r="BW110" s="1008"/>
      <c r="BX110" s="1008">
        <f t="shared" si="110"/>
        <v>0</v>
      </c>
      <c r="BY110" s="1008">
        <f t="shared" si="110"/>
        <v>0</v>
      </c>
      <c r="BZ110" s="1008"/>
      <c r="CA110" s="1008">
        <f t="shared" si="123"/>
        <v>0</v>
      </c>
      <c r="CB110" s="1008">
        <f t="shared" si="123"/>
        <v>0</v>
      </c>
      <c r="CC110" s="1008">
        <f t="shared" si="123"/>
        <v>0</v>
      </c>
      <c r="CD110" s="1008">
        <f t="shared" si="111"/>
        <v>0</v>
      </c>
      <c r="CE110" s="1008">
        <f t="shared" si="111"/>
        <v>0</v>
      </c>
      <c r="CF110" s="1008">
        <f t="shared" si="111"/>
        <v>0</v>
      </c>
      <c r="CG110" s="1008">
        <f t="shared" si="111"/>
        <v>0</v>
      </c>
      <c r="CH110" s="1008">
        <f t="shared" si="111"/>
        <v>0</v>
      </c>
      <c r="CI110" s="1008">
        <f t="shared" si="111"/>
        <v>0</v>
      </c>
      <c r="CJ110" s="1008"/>
      <c r="CK110" s="1008"/>
      <c r="CL110" s="1008">
        <f t="shared" si="112"/>
        <v>0</v>
      </c>
      <c r="CM110" s="1011">
        <f t="shared" si="113"/>
        <v>0.4510328823529412</v>
      </c>
      <c r="CN110" s="1008">
        <f t="shared" si="114"/>
        <v>38337795</v>
      </c>
      <c r="CO110" s="1008"/>
      <c r="CP110" s="1008"/>
      <c r="CQ110" s="1008"/>
      <c r="CR110" s="1008"/>
      <c r="CS110" s="1008"/>
      <c r="CT110" s="1008"/>
      <c r="CU110" s="1008"/>
      <c r="CV110" s="1008"/>
      <c r="CW110" s="1008"/>
      <c r="CX110" s="1008"/>
      <c r="CY110" s="1008"/>
      <c r="CZ110" s="1008"/>
      <c r="DA110" s="1008"/>
      <c r="DB110" s="1008">
        <v>8728499</v>
      </c>
      <c r="DC110" s="1008"/>
      <c r="DD110" s="1008"/>
      <c r="DE110" s="1008">
        <f>+'[18]OCTUBRE 2015'!$H$1191</f>
        <v>29609296</v>
      </c>
      <c r="DF110" s="1008"/>
      <c r="DG110" s="1008"/>
      <c r="DH110" s="1008"/>
      <c r="DI110" s="1011">
        <f t="shared" si="115"/>
        <v>0.54896711764705874</v>
      </c>
      <c r="DJ110" s="1008">
        <f t="shared" si="116"/>
        <v>46662205</v>
      </c>
      <c r="DK110" s="1008">
        <f t="shared" si="122"/>
        <v>0</v>
      </c>
      <c r="DL110" s="1008"/>
      <c r="DM110" s="1008"/>
      <c r="DN110" s="1008">
        <f>AC110-CR110</f>
        <v>0</v>
      </c>
      <c r="DO110" s="1008"/>
      <c r="DP110" s="1008">
        <f t="shared" si="117"/>
        <v>0</v>
      </c>
      <c r="DQ110" s="1008">
        <f t="shared" si="117"/>
        <v>0</v>
      </c>
      <c r="DR110" s="1008"/>
      <c r="DS110" s="1008">
        <f t="shared" si="118"/>
        <v>0</v>
      </c>
      <c r="DT110" s="1008">
        <f t="shared" si="118"/>
        <v>0</v>
      </c>
      <c r="DU110" s="1008"/>
      <c r="DV110" s="1008">
        <f t="shared" si="119"/>
        <v>0</v>
      </c>
      <c r="DW110" s="1008">
        <f t="shared" si="119"/>
        <v>0</v>
      </c>
      <c r="DX110" s="1008">
        <f t="shared" si="119"/>
        <v>2678368</v>
      </c>
      <c r="DY110" s="1008">
        <f t="shared" si="120"/>
        <v>0</v>
      </c>
      <c r="DZ110" s="1008">
        <f t="shared" si="120"/>
        <v>0</v>
      </c>
      <c r="EA110" s="1008">
        <f t="shared" si="120"/>
        <v>43983837</v>
      </c>
      <c r="EB110" s="1008">
        <f t="shared" si="120"/>
        <v>0</v>
      </c>
      <c r="EC110" s="1008"/>
      <c r="ED110" s="1008">
        <f t="shared" si="121"/>
        <v>0</v>
      </c>
    </row>
    <row r="111" spans="1:134" ht="26.25" hidden="1" customHeight="1" x14ac:dyDescent="0.25">
      <c r="A111" s="1559"/>
      <c r="B111" s="1019"/>
      <c r="C111" s="131" t="s">
        <v>4675</v>
      </c>
      <c r="D111" s="1019" t="s">
        <v>4701</v>
      </c>
      <c r="E111" s="1019">
        <v>301</v>
      </c>
      <c r="F111" s="1120" t="s">
        <v>4688</v>
      </c>
      <c r="G111" s="1400"/>
      <c r="H111" s="1061">
        <f t="shared" si="100"/>
        <v>70768544</v>
      </c>
      <c r="I111" s="1061">
        <f t="shared" si="101"/>
        <v>9231456</v>
      </c>
      <c r="J111" s="1401"/>
      <c r="K111" s="1284"/>
      <c r="L111" s="1284"/>
      <c r="M111" s="1115">
        <v>5</v>
      </c>
      <c r="N111" s="1115">
        <v>18</v>
      </c>
      <c r="O111" s="1115">
        <v>1</v>
      </c>
      <c r="P111" s="1115">
        <v>23</v>
      </c>
      <c r="Q111" s="1115">
        <v>42</v>
      </c>
      <c r="R111" s="1115">
        <v>9</v>
      </c>
      <c r="S111" s="1120"/>
      <c r="T111" s="1120"/>
      <c r="U111" s="1120"/>
      <c r="V111" s="1120"/>
      <c r="W111" s="1120"/>
      <c r="X111" s="1120"/>
      <c r="Y111" s="1008">
        <f t="shared" si="102"/>
        <v>80000000</v>
      </c>
      <c r="Z111" s="1008">
        <v>80000000</v>
      </c>
      <c r="AA111" s="1008"/>
      <c r="AB111" s="1008"/>
      <c r="AC111" s="1008"/>
      <c r="AD111" s="1008"/>
      <c r="AE111" s="1008"/>
      <c r="AF111" s="1008"/>
      <c r="AG111" s="1008"/>
      <c r="AH111" s="1008"/>
      <c r="AI111" s="1008"/>
      <c r="AJ111" s="1008"/>
      <c r="AK111" s="1008"/>
      <c r="AL111" s="1008"/>
      <c r="AM111" s="1008"/>
      <c r="AN111" s="1008"/>
      <c r="AO111" s="1008"/>
      <c r="AP111" s="1008"/>
      <c r="AQ111" s="1008"/>
      <c r="AR111" s="1008"/>
      <c r="AS111" s="1008"/>
      <c r="AU111" s="1011">
        <f t="shared" si="103"/>
        <v>1</v>
      </c>
      <c r="AV111" s="1008">
        <f t="shared" si="104"/>
        <v>80000000</v>
      </c>
      <c r="AW111" s="1008">
        <f>+'[10]MARZO 2015'!$J$488</f>
        <v>80000000</v>
      </c>
      <c r="AX111" s="1008"/>
      <c r="AY111" s="1008"/>
      <c r="AZ111" s="1008"/>
      <c r="BA111" s="1008"/>
      <c r="BB111" s="1008"/>
      <c r="BC111" s="1008"/>
      <c r="BD111" s="1008"/>
      <c r="BE111" s="1008"/>
      <c r="BF111" s="1008"/>
      <c r="BG111" s="1008"/>
      <c r="BH111" s="1008"/>
      <c r="BI111" s="1008"/>
      <c r="BJ111" s="1008"/>
      <c r="BK111" s="1008"/>
      <c r="BL111" s="1008"/>
      <c r="BM111" s="1008"/>
      <c r="BN111" s="1008"/>
      <c r="BO111" s="1008"/>
      <c r="BP111" s="1008"/>
      <c r="BQ111" s="1011">
        <f t="shared" si="105"/>
        <v>0</v>
      </c>
      <c r="BR111" s="1008">
        <f t="shared" si="106"/>
        <v>0</v>
      </c>
      <c r="BS111" s="1008">
        <f t="shared" si="107"/>
        <v>0</v>
      </c>
      <c r="BT111" s="1008">
        <f t="shared" si="108"/>
        <v>0</v>
      </c>
      <c r="BU111" s="1008"/>
      <c r="BV111" s="1008">
        <f t="shared" si="109"/>
        <v>0</v>
      </c>
      <c r="BW111" s="1008"/>
      <c r="BX111" s="1008"/>
      <c r="BY111" s="1008"/>
      <c r="BZ111" s="1008"/>
      <c r="CA111" s="1008"/>
      <c r="CB111" s="1008"/>
      <c r="CC111" s="1008"/>
      <c r="CD111" s="1008"/>
      <c r="CE111" s="1008">
        <f t="shared" si="111"/>
        <v>0</v>
      </c>
      <c r="CF111" s="1008">
        <f t="shared" si="111"/>
        <v>0</v>
      </c>
      <c r="CG111" s="1008">
        <f t="shared" si="111"/>
        <v>0</v>
      </c>
      <c r="CH111" s="1008">
        <f t="shared" si="111"/>
        <v>0</v>
      </c>
      <c r="CI111" s="1008"/>
      <c r="CJ111" s="1008"/>
      <c r="CK111" s="1008"/>
      <c r="CL111" s="1008">
        <f t="shared" si="112"/>
        <v>0</v>
      </c>
      <c r="CM111" s="1011">
        <f t="shared" si="113"/>
        <v>0.88460680000000003</v>
      </c>
      <c r="CN111" s="1008">
        <f t="shared" si="114"/>
        <v>70768544</v>
      </c>
      <c r="CO111" s="1008">
        <f>+'[18]OCTUBRE 2015'!$H$1197</f>
        <v>70768544</v>
      </c>
      <c r="CP111" s="1008"/>
      <c r="CQ111" s="1008"/>
      <c r="CR111" s="1008"/>
      <c r="CS111" s="1008"/>
      <c r="CT111" s="1008"/>
      <c r="CU111" s="1008"/>
      <c r="CV111" s="1008"/>
      <c r="CW111" s="1008"/>
      <c r="CX111" s="1008"/>
      <c r="CY111" s="1008"/>
      <c r="CZ111" s="1008"/>
      <c r="DA111" s="1008"/>
      <c r="DB111" s="1008"/>
      <c r="DC111" s="1008"/>
      <c r="DD111" s="1008"/>
      <c r="DE111" s="1008"/>
      <c r="DF111" s="1008"/>
      <c r="DG111" s="1008"/>
      <c r="DH111" s="1008"/>
      <c r="DI111" s="1011">
        <f t="shared" si="115"/>
        <v>0.11539319999999997</v>
      </c>
      <c r="DJ111" s="1008">
        <f t="shared" si="116"/>
        <v>9231456</v>
      </c>
      <c r="DK111" s="1008">
        <f t="shared" si="122"/>
        <v>9231456</v>
      </c>
      <c r="DL111" s="1008"/>
      <c r="DM111" s="1008"/>
      <c r="DN111" s="1008"/>
      <c r="DO111" s="1008"/>
      <c r="DP111" s="1008">
        <f>AE111-CT111</f>
        <v>0</v>
      </c>
      <c r="DQ111" s="1008"/>
      <c r="DR111" s="1008"/>
      <c r="DS111" s="1008"/>
      <c r="DT111" s="1008"/>
      <c r="DU111" s="1008"/>
      <c r="DV111" s="1008"/>
      <c r="DW111" s="1008"/>
      <c r="DX111" s="1008"/>
      <c r="DY111" s="1008">
        <f>+AN111-DC111</f>
        <v>0</v>
      </c>
      <c r="DZ111" s="1008"/>
      <c r="EA111" s="1008"/>
      <c r="EB111" s="1008"/>
      <c r="EC111" s="1008"/>
      <c r="ED111" s="1008">
        <f t="shared" si="121"/>
        <v>0</v>
      </c>
    </row>
    <row r="112" spans="1:134" ht="26.25" hidden="1" customHeight="1" x14ac:dyDescent="0.25">
      <c r="A112" s="1559"/>
      <c r="B112" s="1019"/>
      <c r="C112" s="131" t="s">
        <v>4676</v>
      </c>
      <c r="D112" s="1019" t="s">
        <v>4702</v>
      </c>
      <c r="E112" s="1019">
        <v>301</v>
      </c>
      <c r="F112" s="1120" t="s">
        <v>4591</v>
      </c>
      <c r="G112" s="1400"/>
      <c r="H112" s="1061">
        <f t="shared" si="100"/>
        <v>100000000</v>
      </c>
      <c r="I112" s="1061">
        <f t="shared" si="101"/>
        <v>0</v>
      </c>
      <c r="J112" s="1399" t="s">
        <v>4914</v>
      </c>
      <c r="K112" s="1283" t="s">
        <v>4915</v>
      </c>
      <c r="L112" s="1283" t="s">
        <v>4921</v>
      </c>
      <c r="M112" s="1115">
        <v>0</v>
      </c>
      <c r="N112" s="1115">
        <v>0</v>
      </c>
      <c r="O112" s="1115">
        <v>0</v>
      </c>
      <c r="P112" s="1115">
        <v>100</v>
      </c>
      <c r="Q112" s="1115">
        <v>0</v>
      </c>
      <c r="R112" s="1115">
        <v>0</v>
      </c>
      <c r="S112" s="1120"/>
      <c r="T112" s="1120"/>
      <c r="U112" s="1120"/>
      <c r="V112" s="1120"/>
      <c r="W112" s="1120"/>
      <c r="X112" s="1120"/>
      <c r="Y112" s="1008">
        <f t="shared" si="102"/>
        <v>100000000</v>
      </c>
      <c r="Z112" s="1008"/>
      <c r="AA112" s="1008"/>
      <c r="AB112" s="1008"/>
      <c r="AC112" s="1008"/>
      <c r="AD112" s="1008"/>
      <c r="AE112" s="1008"/>
      <c r="AF112" s="1008"/>
      <c r="AG112" s="1008"/>
      <c r="AH112" s="1008"/>
      <c r="AI112" s="1008"/>
      <c r="AJ112" s="1008"/>
      <c r="AK112" s="1008"/>
      <c r="AL112" s="1008"/>
      <c r="AM112" s="1008"/>
      <c r="AN112" s="1008">
        <v>100000000</v>
      </c>
      <c r="AO112" s="1008"/>
      <c r="AP112" s="1008"/>
      <c r="AQ112" s="1008"/>
      <c r="AR112" s="1008"/>
      <c r="AS112" s="1008"/>
      <c r="AU112" s="1011">
        <f t="shared" si="103"/>
        <v>1</v>
      </c>
      <c r="AV112" s="1008">
        <f t="shared" si="104"/>
        <v>100000000</v>
      </c>
      <c r="AW112" s="1008"/>
      <c r="AX112" s="1008"/>
      <c r="AY112" s="1008"/>
      <c r="AZ112" s="1008"/>
      <c r="BA112" s="1008"/>
      <c r="BB112" s="1008"/>
      <c r="BC112" s="1008"/>
      <c r="BD112" s="1008"/>
      <c r="BE112" s="1008"/>
      <c r="BF112" s="1008"/>
      <c r="BG112" s="1008"/>
      <c r="BH112" s="1008"/>
      <c r="BI112" s="1008"/>
      <c r="BJ112" s="1008"/>
      <c r="BK112" s="1008">
        <f>+'[10]MARZO 2015'!$W$496</f>
        <v>100000000</v>
      </c>
      <c r="BL112" s="1008"/>
      <c r="BM112" s="1008"/>
      <c r="BN112" s="1008"/>
      <c r="BO112" s="1008"/>
      <c r="BP112" s="1008"/>
      <c r="BQ112" s="1011">
        <f t="shared" si="105"/>
        <v>0</v>
      </c>
      <c r="BR112" s="1008">
        <f t="shared" si="106"/>
        <v>0</v>
      </c>
      <c r="BS112" s="1008">
        <f t="shared" si="107"/>
        <v>0</v>
      </c>
      <c r="BT112" s="1008">
        <f t="shared" si="108"/>
        <v>0</v>
      </c>
      <c r="BU112" s="1008"/>
      <c r="BV112" s="1008">
        <f t="shared" si="109"/>
        <v>0</v>
      </c>
      <c r="BW112" s="1008"/>
      <c r="BX112" s="1008"/>
      <c r="BY112" s="1008"/>
      <c r="BZ112" s="1008"/>
      <c r="CA112" s="1008"/>
      <c r="CB112" s="1008"/>
      <c r="CC112" s="1008"/>
      <c r="CD112" s="1008"/>
      <c r="CE112" s="1008">
        <f t="shared" si="111"/>
        <v>0</v>
      </c>
      <c r="CF112" s="1008">
        <f t="shared" si="111"/>
        <v>0</v>
      </c>
      <c r="CG112" s="1008">
        <f t="shared" si="111"/>
        <v>0</v>
      </c>
      <c r="CH112" s="1008">
        <f t="shared" si="111"/>
        <v>0</v>
      </c>
      <c r="CI112" s="1008"/>
      <c r="CJ112" s="1008"/>
      <c r="CK112" s="1008"/>
      <c r="CL112" s="1008">
        <f t="shared" si="112"/>
        <v>0</v>
      </c>
      <c r="CM112" s="1011">
        <f t="shared" si="113"/>
        <v>1</v>
      </c>
      <c r="CN112" s="1008">
        <f t="shared" si="114"/>
        <v>100000000</v>
      </c>
      <c r="CO112" s="1008"/>
      <c r="CP112" s="1008"/>
      <c r="CQ112" s="1008"/>
      <c r="CR112" s="1008"/>
      <c r="CS112" s="1008"/>
      <c r="CT112" s="1008"/>
      <c r="CU112" s="1008"/>
      <c r="CV112" s="1008"/>
      <c r="CW112" s="1008"/>
      <c r="CX112" s="1008"/>
      <c r="CY112" s="1008"/>
      <c r="CZ112" s="1008"/>
      <c r="DA112" s="1008"/>
      <c r="DB112" s="1008"/>
      <c r="DC112" s="1008">
        <f>+'[11]ABRIL 2015'!$H$571</f>
        <v>100000000</v>
      </c>
      <c r="DD112" s="1008"/>
      <c r="DE112" s="1008"/>
      <c r="DF112" s="1008"/>
      <c r="DG112" s="1008"/>
      <c r="DH112" s="1008"/>
      <c r="DI112" s="1011">
        <f t="shared" si="115"/>
        <v>0</v>
      </c>
      <c r="DJ112" s="1008">
        <f t="shared" si="116"/>
        <v>0</v>
      </c>
      <c r="DK112" s="1008">
        <f t="shared" si="122"/>
        <v>0</v>
      </c>
      <c r="DL112" s="1008"/>
      <c r="DM112" s="1008"/>
      <c r="DN112" s="1008"/>
      <c r="DO112" s="1008"/>
      <c r="DP112" s="1008">
        <f>AE112-CT112</f>
        <v>0</v>
      </c>
      <c r="DQ112" s="1008"/>
      <c r="DR112" s="1008"/>
      <c r="DS112" s="1008"/>
      <c r="DT112" s="1008"/>
      <c r="DU112" s="1008"/>
      <c r="DV112" s="1008"/>
      <c r="DW112" s="1008"/>
      <c r="DX112" s="1008"/>
      <c r="DY112" s="1008">
        <f>+AN112-DC112</f>
        <v>0</v>
      </c>
      <c r="DZ112" s="1008"/>
      <c r="EA112" s="1008"/>
      <c r="EB112" s="1008"/>
      <c r="EC112" s="1008"/>
      <c r="ED112" s="1008">
        <f t="shared" si="121"/>
        <v>0</v>
      </c>
    </row>
    <row r="113" spans="1:134" s="203" customFormat="1" ht="33.75" hidden="1" customHeight="1" x14ac:dyDescent="0.25">
      <c r="A113" s="1559"/>
      <c r="B113" s="1019"/>
      <c r="C113" s="1631" t="s">
        <v>4715</v>
      </c>
      <c r="D113" s="1019" t="s">
        <v>4716</v>
      </c>
      <c r="E113" s="1019">
        <v>301</v>
      </c>
      <c r="F113" s="1120" t="s">
        <v>4661</v>
      </c>
      <c r="G113" s="1401"/>
      <c r="H113" s="1061">
        <f t="shared" si="100"/>
        <v>0</v>
      </c>
      <c r="I113" s="1061">
        <f t="shared" si="101"/>
        <v>30000000</v>
      </c>
      <c r="J113" s="1401"/>
      <c r="K113" s="1284"/>
      <c r="L113" s="1284"/>
      <c r="M113" s="1077"/>
      <c r="N113" s="1077"/>
      <c r="O113" s="1077"/>
      <c r="P113" s="1075"/>
      <c r="Q113" s="1075"/>
      <c r="R113" s="1075"/>
      <c r="S113" s="1120"/>
      <c r="T113" s="1120"/>
      <c r="U113" s="1120"/>
      <c r="V113" s="1120"/>
      <c r="W113" s="1120"/>
      <c r="X113" s="1120"/>
      <c r="Y113" s="1067">
        <f t="shared" si="102"/>
        <v>30000000</v>
      </c>
      <c r="Z113" s="1067"/>
      <c r="AA113" s="1067"/>
      <c r="AB113" s="1067"/>
      <c r="AC113" s="1067"/>
      <c r="AD113" s="1067"/>
      <c r="AE113" s="1067"/>
      <c r="AF113" s="1067"/>
      <c r="AG113" s="1067"/>
      <c r="AH113" s="1067"/>
      <c r="AI113" s="1067"/>
      <c r="AJ113" s="1067"/>
      <c r="AK113" s="1067"/>
      <c r="AL113" s="1067"/>
      <c r="AM113" s="1067"/>
      <c r="AN113" s="1067"/>
      <c r="AO113" s="1067">
        <v>30000000</v>
      </c>
      <c r="AP113" s="1067"/>
      <c r="AQ113" s="1067"/>
      <c r="AR113" s="1067"/>
      <c r="AS113" s="1067"/>
      <c r="AU113" s="1082">
        <f t="shared" si="103"/>
        <v>1</v>
      </c>
      <c r="AV113" s="1067">
        <f t="shared" si="104"/>
        <v>30000000</v>
      </c>
      <c r="AW113" s="1067"/>
      <c r="AX113" s="1067"/>
      <c r="AY113" s="1067"/>
      <c r="AZ113" s="1067"/>
      <c r="BA113" s="1067"/>
      <c r="BB113" s="1067"/>
      <c r="BC113" s="1067"/>
      <c r="BD113" s="1067"/>
      <c r="BE113" s="1067"/>
      <c r="BF113" s="1067"/>
      <c r="BG113" s="1067"/>
      <c r="BH113" s="1067"/>
      <c r="BI113" s="1067"/>
      <c r="BJ113" s="1067"/>
      <c r="BK113" s="1067"/>
      <c r="BL113" s="1067">
        <f>+'[18]OCTUBRE 2015'!$Y$1239</f>
        <v>30000000</v>
      </c>
      <c r="BM113" s="1067"/>
      <c r="BN113" s="1067"/>
      <c r="BO113" s="1067"/>
      <c r="BP113" s="1067"/>
      <c r="BQ113" s="1082">
        <f t="shared" si="105"/>
        <v>0</v>
      </c>
      <c r="BR113" s="1067">
        <f t="shared" si="106"/>
        <v>0</v>
      </c>
      <c r="BS113" s="1067"/>
      <c r="BT113" s="1067"/>
      <c r="BU113" s="1067"/>
      <c r="BV113" s="1067"/>
      <c r="BW113" s="1067"/>
      <c r="BX113" s="1067"/>
      <c r="BY113" s="1067"/>
      <c r="BZ113" s="1067"/>
      <c r="CA113" s="1067"/>
      <c r="CB113" s="1067"/>
      <c r="CC113" s="1067"/>
      <c r="CD113" s="1067"/>
      <c r="CE113" s="1067"/>
      <c r="CF113" s="1067"/>
      <c r="CG113" s="1067"/>
      <c r="CH113" s="1067">
        <f t="shared" si="111"/>
        <v>0</v>
      </c>
      <c r="CI113" s="1067"/>
      <c r="CJ113" s="1067"/>
      <c r="CK113" s="1067"/>
      <c r="CL113" s="1067"/>
      <c r="CM113" s="1082">
        <f t="shared" si="113"/>
        <v>0</v>
      </c>
      <c r="CN113" s="1067">
        <f t="shared" si="114"/>
        <v>0</v>
      </c>
      <c r="CO113" s="1067"/>
      <c r="CP113" s="1067"/>
      <c r="CQ113" s="1067"/>
      <c r="CR113" s="1067"/>
      <c r="CS113" s="1067"/>
      <c r="CT113" s="1067"/>
      <c r="CU113" s="1067"/>
      <c r="CV113" s="1067"/>
      <c r="CW113" s="1067"/>
      <c r="CX113" s="1067"/>
      <c r="CY113" s="1067"/>
      <c r="CZ113" s="1067"/>
      <c r="DA113" s="1067"/>
      <c r="DB113" s="1067"/>
      <c r="DC113" s="1067"/>
      <c r="DD113" s="1067"/>
      <c r="DE113" s="1067"/>
      <c r="DF113" s="1067"/>
      <c r="DG113" s="1067"/>
      <c r="DH113" s="1067"/>
      <c r="DI113" s="1082">
        <f t="shared" si="115"/>
        <v>1</v>
      </c>
      <c r="DJ113" s="1067">
        <f t="shared" si="116"/>
        <v>30000000</v>
      </c>
      <c r="DK113" s="1067"/>
      <c r="DL113" s="1067"/>
      <c r="DM113" s="1067"/>
      <c r="DN113" s="1067"/>
      <c r="DO113" s="1067"/>
      <c r="DP113" s="1067"/>
      <c r="DQ113" s="1067"/>
      <c r="DR113" s="1067"/>
      <c r="DS113" s="1067"/>
      <c r="DT113" s="1067"/>
      <c r="DU113" s="1067"/>
      <c r="DV113" s="1067"/>
      <c r="DW113" s="1067"/>
      <c r="DX113" s="1067"/>
      <c r="DY113" s="1067"/>
      <c r="DZ113" s="1067">
        <f t="shared" ref="DZ113:EB127" si="124">+AO113-DD113</f>
        <v>30000000</v>
      </c>
      <c r="EA113" s="1067"/>
      <c r="EB113" s="1067"/>
      <c r="EC113" s="1067"/>
      <c r="ED113" s="1067"/>
    </row>
    <row r="114" spans="1:134" ht="42.75" hidden="1" customHeight="1" x14ac:dyDescent="0.25">
      <c r="A114" s="1559"/>
      <c r="B114" s="1028" t="s">
        <v>4442</v>
      </c>
      <c r="C114" s="347" t="s">
        <v>4634</v>
      </c>
      <c r="D114" s="1019" t="s">
        <v>4459</v>
      </c>
      <c r="E114" s="1632">
        <v>301</v>
      </c>
      <c r="F114" s="1399" t="s">
        <v>4739</v>
      </c>
      <c r="G114" s="1068">
        <v>304000000</v>
      </c>
      <c r="H114" s="1061">
        <f t="shared" si="100"/>
        <v>296730427</v>
      </c>
      <c r="I114" s="1061">
        <f t="shared" si="101"/>
        <v>15269573</v>
      </c>
      <c r="J114" s="1120" t="s">
        <v>4937</v>
      </c>
      <c r="K114" s="1115" t="s">
        <v>4940</v>
      </c>
      <c r="L114" s="1115" t="s">
        <v>4943</v>
      </c>
      <c r="M114" s="1283">
        <v>12</v>
      </c>
      <c r="N114" s="1115">
        <v>0</v>
      </c>
      <c r="O114" s="1115">
        <v>0</v>
      </c>
      <c r="P114" s="1283">
        <v>45</v>
      </c>
      <c r="Q114" s="1115">
        <v>57</v>
      </c>
      <c r="R114" s="1115">
        <v>26</v>
      </c>
      <c r="S114" s="1120"/>
      <c r="T114" s="1120"/>
      <c r="U114" s="1120"/>
      <c r="V114" s="1120"/>
      <c r="W114" s="1120"/>
      <c r="X114" s="1120"/>
      <c r="Y114" s="1008">
        <f t="shared" si="102"/>
        <v>312000000</v>
      </c>
      <c r="Z114" s="1008"/>
      <c r="AA114" s="1008"/>
      <c r="AB114" s="1008"/>
      <c r="AC114" s="1008"/>
      <c r="AD114" s="1008"/>
      <c r="AE114" s="1008"/>
      <c r="AF114" s="1008"/>
      <c r="AG114" s="1008"/>
      <c r="AH114" s="1008"/>
      <c r="AI114" s="1008"/>
      <c r="AJ114" s="1008"/>
      <c r="AK114" s="1008"/>
      <c r="AL114" s="1008"/>
      <c r="AM114" s="1008">
        <v>300000000</v>
      </c>
      <c r="AN114" s="1008"/>
      <c r="AO114" s="1008"/>
      <c r="AP114" s="1008"/>
      <c r="AQ114" s="1008"/>
      <c r="AR114" s="1008"/>
      <c r="AS114" s="1008">
        <f>4000000+8000000</f>
        <v>12000000</v>
      </c>
      <c r="AU114" s="1011">
        <f t="shared" si="103"/>
        <v>0.99425641025641021</v>
      </c>
      <c r="AV114" s="1008">
        <f t="shared" si="104"/>
        <v>310208000</v>
      </c>
      <c r="AW114" s="1008"/>
      <c r="AX114" s="1008"/>
      <c r="AY114" s="1008"/>
      <c r="AZ114" s="1008"/>
      <c r="BA114" s="1008"/>
      <c r="BB114" s="1008"/>
      <c r="BC114" s="1008"/>
      <c r="BD114" s="1008"/>
      <c r="BE114" s="1008"/>
      <c r="BF114" s="1008"/>
      <c r="BG114" s="1008"/>
      <c r="BH114" s="1008"/>
      <c r="BI114" s="1008"/>
      <c r="BJ114" s="1008">
        <f>+'[16]AGOSTO 2015'!$W$943</f>
        <v>298208000</v>
      </c>
      <c r="BK114" s="1008"/>
      <c r="BL114" s="1008"/>
      <c r="BM114" s="1008"/>
      <c r="BN114" s="1008"/>
      <c r="BO114" s="1008"/>
      <c r="BP114" s="1008">
        <f>+'[15]JULIO 2015'!$AD$839</f>
        <v>12000000</v>
      </c>
      <c r="BQ114" s="1011">
        <f t="shared" si="105"/>
        <v>5.7435897435897942E-3</v>
      </c>
      <c r="BR114" s="1008">
        <f t="shared" si="106"/>
        <v>1792000</v>
      </c>
      <c r="BS114" s="1008">
        <f t="shared" ref="BS114:BS127" si="125">+Z114-AW114</f>
        <v>0</v>
      </c>
      <c r="BT114" s="1008">
        <f t="shared" ref="BT114:BT127" si="126">AA114-AX114</f>
        <v>0</v>
      </c>
      <c r="BU114" s="1008"/>
      <c r="BV114" s="1008">
        <f t="shared" ref="BV114:BV127" si="127">AC114-AZ114</f>
        <v>0</v>
      </c>
      <c r="BW114" s="1008"/>
      <c r="BX114" s="1008">
        <f t="shared" ref="BX114:BY127" si="128">+AE114-BB114</f>
        <v>0</v>
      </c>
      <c r="BY114" s="1008">
        <f t="shared" si="128"/>
        <v>0</v>
      </c>
      <c r="BZ114" s="1008"/>
      <c r="CA114" s="1008">
        <f t="shared" ref="CA114:CG127" si="129">+AH114-BE114</f>
        <v>0</v>
      </c>
      <c r="CB114" s="1008">
        <f t="shared" si="129"/>
        <v>0</v>
      </c>
      <c r="CC114" s="1008">
        <f t="shared" si="129"/>
        <v>0</v>
      </c>
      <c r="CD114" s="1008">
        <f t="shared" si="129"/>
        <v>0</v>
      </c>
      <c r="CE114" s="1008">
        <f t="shared" si="129"/>
        <v>0</v>
      </c>
      <c r="CF114" s="1008">
        <f t="shared" si="129"/>
        <v>1792000</v>
      </c>
      <c r="CG114" s="1008">
        <f t="shared" si="129"/>
        <v>0</v>
      </c>
      <c r="CH114" s="1008">
        <f t="shared" si="111"/>
        <v>0</v>
      </c>
      <c r="CI114" s="1008">
        <f t="shared" si="111"/>
        <v>0</v>
      </c>
      <c r="CJ114" s="1008"/>
      <c r="CK114" s="1008"/>
      <c r="CL114" s="1008">
        <f t="shared" ref="CL114:CL127" si="130">+AS114-BP114</f>
        <v>0</v>
      </c>
      <c r="CM114" s="1011">
        <f t="shared" si="113"/>
        <v>0.95105906089743586</v>
      </c>
      <c r="CN114" s="1008">
        <f t="shared" si="114"/>
        <v>296730427</v>
      </c>
      <c r="CO114" s="1008"/>
      <c r="CP114" s="1008"/>
      <c r="CQ114" s="1008"/>
      <c r="CR114" s="1008"/>
      <c r="CS114" s="1008"/>
      <c r="CT114" s="1008"/>
      <c r="CU114" s="1008"/>
      <c r="CV114" s="1008"/>
      <c r="CW114" s="1008"/>
      <c r="CX114" s="1008"/>
      <c r="CY114" s="1008"/>
      <c r="CZ114" s="1008"/>
      <c r="DA114" s="1008"/>
      <c r="DB114" s="1008">
        <f>+'[18]OCTUBRE 2015'!$H$1246-DH114</f>
        <v>295730427</v>
      </c>
      <c r="DC114" s="1008"/>
      <c r="DD114" s="1008"/>
      <c r="DE114" s="1008"/>
      <c r="DF114" s="1008"/>
      <c r="DG114" s="1008"/>
      <c r="DH114" s="1008">
        <f>+'[17]SEPTIEMBRE 2015'!$H$1144</f>
        <v>1000000</v>
      </c>
      <c r="DI114" s="1011">
        <f t="shared" si="115"/>
        <v>4.894093910256414E-2</v>
      </c>
      <c r="DJ114" s="1008">
        <f t="shared" si="116"/>
        <v>15269573</v>
      </c>
      <c r="DK114" s="1008">
        <f t="shared" ref="DK114:DK127" si="131">Z114-CO114</f>
        <v>0</v>
      </c>
      <c r="DL114" s="1008"/>
      <c r="DM114" s="1008"/>
      <c r="DN114" s="1008">
        <f t="shared" ref="DN114:DN127" si="132">AC114-CR114</f>
        <v>0</v>
      </c>
      <c r="DO114" s="1008"/>
      <c r="DP114" s="1008">
        <f t="shared" ref="DP114:DQ127" si="133">AE114-CT114</f>
        <v>0</v>
      </c>
      <c r="DQ114" s="1008">
        <f t="shared" si="133"/>
        <v>0</v>
      </c>
      <c r="DR114" s="1008"/>
      <c r="DS114" s="1008">
        <f t="shared" ref="DS114:DT127" si="134">+AH114-CW114</f>
        <v>0</v>
      </c>
      <c r="DT114" s="1008">
        <f t="shared" si="134"/>
        <v>0</v>
      </c>
      <c r="DU114" s="1008"/>
      <c r="DV114" s="1008">
        <f t="shared" ref="DV114:DX127" si="135">AK114-CZ114</f>
        <v>0</v>
      </c>
      <c r="DW114" s="1008">
        <f t="shared" si="135"/>
        <v>0</v>
      </c>
      <c r="DX114" s="1008">
        <f t="shared" si="135"/>
        <v>4269573</v>
      </c>
      <c r="DY114" s="1008">
        <f t="shared" ref="DY114:DY127" si="136">+AN114-DC114</f>
        <v>0</v>
      </c>
      <c r="DZ114" s="1008">
        <f t="shared" si="124"/>
        <v>0</v>
      </c>
      <c r="EA114" s="1008">
        <f t="shared" si="124"/>
        <v>0</v>
      </c>
      <c r="EB114" s="1008">
        <f t="shared" si="124"/>
        <v>0</v>
      </c>
      <c r="EC114" s="1008"/>
      <c r="ED114" s="1008">
        <f t="shared" ref="ED114:ED127" si="137">+AS114-DH114</f>
        <v>11000000</v>
      </c>
    </row>
    <row r="115" spans="1:134" s="203" customFormat="1" ht="27" hidden="1" customHeight="1" x14ac:dyDescent="0.25">
      <c r="A115" s="1559"/>
      <c r="B115" s="1085"/>
      <c r="C115" s="1086"/>
      <c r="D115" s="1019" t="s">
        <v>4934</v>
      </c>
      <c r="E115" s="1633"/>
      <c r="F115" s="1400"/>
      <c r="G115" s="1087"/>
      <c r="H115" s="1061"/>
      <c r="I115" s="1061"/>
      <c r="J115" s="1120" t="s">
        <v>4936</v>
      </c>
      <c r="K115" s="1115" t="s">
        <v>4939</v>
      </c>
      <c r="L115" s="1115" t="s">
        <v>4942</v>
      </c>
      <c r="M115" s="1573"/>
      <c r="N115" s="1115">
        <v>0</v>
      </c>
      <c r="O115" s="1115">
        <v>0</v>
      </c>
      <c r="P115" s="1573"/>
      <c r="Q115" s="1115">
        <v>68</v>
      </c>
      <c r="R115" s="1115">
        <v>0</v>
      </c>
      <c r="S115" s="1120"/>
      <c r="T115" s="1120"/>
      <c r="U115" s="1120"/>
      <c r="V115" s="1120"/>
      <c r="W115" s="1120"/>
      <c r="X115" s="1120"/>
      <c r="Y115" s="1067"/>
      <c r="Z115" s="1067"/>
      <c r="AA115" s="1067"/>
      <c r="AB115" s="1067"/>
      <c r="AC115" s="1067"/>
      <c r="AD115" s="1067"/>
      <c r="AE115" s="1067"/>
      <c r="AF115" s="1067"/>
      <c r="AG115" s="1067"/>
      <c r="AH115" s="1067"/>
      <c r="AI115" s="1067"/>
      <c r="AJ115" s="1067"/>
      <c r="AK115" s="1067"/>
      <c r="AL115" s="1067"/>
      <c r="AM115" s="1067"/>
      <c r="AN115" s="1067"/>
      <c r="AO115" s="1067"/>
      <c r="AP115" s="1067"/>
      <c r="AQ115" s="1067"/>
      <c r="AR115" s="1067"/>
      <c r="AS115" s="1067"/>
      <c r="AU115" s="1082"/>
      <c r="AV115" s="1067"/>
      <c r="AW115" s="1067"/>
      <c r="AX115" s="1067"/>
      <c r="AY115" s="1067"/>
      <c r="AZ115" s="1067"/>
      <c r="BA115" s="1067"/>
      <c r="BB115" s="1067"/>
      <c r="BC115" s="1067"/>
      <c r="BD115" s="1067"/>
      <c r="BE115" s="1067"/>
      <c r="BF115" s="1067"/>
      <c r="BG115" s="1067"/>
      <c r="BH115" s="1067"/>
      <c r="BI115" s="1067"/>
      <c r="BJ115" s="1067"/>
      <c r="BK115" s="1067"/>
      <c r="BL115" s="1067"/>
      <c r="BM115" s="1067"/>
      <c r="BN115" s="1067"/>
      <c r="BO115" s="1067"/>
      <c r="BP115" s="1067"/>
      <c r="BQ115" s="1082"/>
      <c r="BR115" s="1067"/>
      <c r="BS115" s="1067"/>
      <c r="BT115" s="1067"/>
      <c r="BU115" s="1067"/>
      <c r="BV115" s="1067"/>
      <c r="BW115" s="1067"/>
      <c r="BX115" s="1067"/>
      <c r="BY115" s="1067"/>
      <c r="BZ115" s="1067"/>
      <c r="CA115" s="1067"/>
      <c r="CB115" s="1067"/>
      <c r="CC115" s="1067"/>
      <c r="CD115" s="1067"/>
      <c r="CE115" s="1067"/>
      <c r="CF115" s="1067"/>
      <c r="CG115" s="1067"/>
      <c r="CH115" s="1067"/>
      <c r="CI115" s="1067"/>
      <c r="CJ115" s="1067"/>
      <c r="CK115" s="1067"/>
      <c r="CL115" s="1067"/>
      <c r="CM115" s="1082"/>
      <c r="CN115" s="1067"/>
      <c r="CO115" s="1067"/>
      <c r="CP115" s="1067"/>
      <c r="CQ115" s="1067"/>
      <c r="CR115" s="1067"/>
      <c r="CS115" s="1067"/>
      <c r="CT115" s="1067"/>
      <c r="CU115" s="1067"/>
      <c r="CV115" s="1067"/>
      <c r="CW115" s="1067"/>
      <c r="CX115" s="1067"/>
      <c r="CY115" s="1067"/>
      <c r="CZ115" s="1067"/>
      <c r="DA115" s="1067"/>
      <c r="DB115" s="1067"/>
      <c r="DC115" s="1067"/>
      <c r="DD115" s="1067"/>
      <c r="DE115" s="1067"/>
      <c r="DF115" s="1067"/>
      <c r="DG115" s="1067"/>
      <c r="DH115" s="1067"/>
      <c r="DI115" s="1082"/>
      <c r="DJ115" s="1067"/>
      <c r="DK115" s="1067"/>
      <c r="DL115" s="1067"/>
      <c r="DM115" s="1067"/>
      <c r="DN115" s="1067"/>
      <c r="DO115" s="1067"/>
      <c r="DP115" s="1067"/>
      <c r="DQ115" s="1067"/>
      <c r="DR115" s="1067"/>
      <c r="DS115" s="1067"/>
      <c r="DT115" s="1067"/>
      <c r="DU115" s="1067"/>
      <c r="DV115" s="1067"/>
      <c r="DW115" s="1067"/>
      <c r="DX115" s="1067"/>
      <c r="DY115" s="1067"/>
      <c r="DZ115" s="1067"/>
      <c r="EA115" s="1067"/>
      <c r="EB115" s="1067"/>
      <c r="EC115" s="1067"/>
      <c r="ED115" s="1067"/>
    </row>
    <row r="116" spans="1:134" s="203" customFormat="1" ht="27" hidden="1" customHeight="1" x14ac:dyDescent="0.25">
      <c r="A116" s="1559"/>
      <c r="B116" s="1027"/>
      <c r="C116" s="1088"/>
      <c r="D116" s="1019" t="s">
        <v>4935</v>
      </c>
      <c r="E116" s="1634"/>
      <c r="F116" s="1401"/>
      <c r="G116" s="1072"/>
      <c r="H116" s="1061"/>
      <c r="I116" s="1061"/>
      <c r="J116" s="1120" t="s">
        <v>4938</v>
      </c>
      <c r="K116" s="1115" t="s">
        <v>4941</v>
      </c>
      <c r="L116" s="1115" t="s">
        <v>4944</v>
      </c>
      <c r="M116" s="1284"/>
      <c r="N116" s="1115">
        <v>0</v>
      </c>
      <c r="O116" s="1115">
        <v>0</v>
      </c>
      <c r="P116" s="1284"/>
      <c r="Q116" s="1115">
        <v>23</v>
      </c>
      <c r="R116" s="1115">
        <v>0</v>
      </c>
      <c r="S116" s="1120"/>
      <c r="T116" s="1120"/>
      <c r="U116" s="1120"/>
      <c r="V116" s="1120"/>
      <c r="W116" s="1120"/>
      <c r="X116" s="1120"/>
      <c r="Y116" s="1067"/>
      <c r="Z116" s="1067"/>
      <c r="AA116" s="1067"/>
      <c r="AB116" s="1067"/>
      <c r="AC116" s="1067"/>
      <c r="AD116" s="1067"/>
      <c r="AE116" s="1067"/>
      <c r="AF116" s="1067"/>
      <c r="AG116" s="1067"/>
      <c r="AH116" s="1067"/>
      <c r="AI116" s="1067"/>
      <c r="AJ116" s="1067"/>
      <c r="AK116" s="1067"/>
      <c r="AL116" s="1067"/>
      <c r="AM116" s="1067"/>
      <c r="AN116" s="1067"/>
      <c r="AO116" s="1067"/>
      <c r="AP116" s="1067"/>
      <c r="AQ116" s="1067"/>
      <c r="AR116" s="1067"/>
      <c r="AS116" s="1067"/>
      <c r="AU116" s="1082"/>
      <c r="AV116" s="1067"/>
      <c r="AW116" s="1067"/>
      <c r="AX116" s="1067"/>
      <c r="AY116" s="1067"/>
      <c r="AZ116" s="1067"/>
      <c r="BA116" s="1067"/>
      <c r="BB116" s="1067"/>
      <c r="BC116" s="1067"/>
      <c r="BD116" s="1067"/>
      <c r="BE116" s="1067"/>
      <c r="BF116" s="1067"/>
      <c r="BG116" s="1067"/>
      <c r="BH116" s="1067"/>
      <c r="BI116" s="1067"/>
      <c r="BJ116" s="1067"/>
      <c r="BK116" s="1067"/>
      <c r="BL116" s="1067"/>
      <c r="BM116" s="1067"/>
      <c r="BN116" s="1067"/>
      <c r="BO116" s="1067"/>
      <c r="BP116" s="1067"/>
      <c r="BQ116" s="1082"/>
      <c r="BR116" s="1067"/>
      <c r="BS116" s="1067"/>
      <c r="BT116" s="1067"/>
      <c r="BU116" s="1067"/>
      <c r="BV116" s="1067"/>
      <c r="BW116" s="1067"/>
      <c r="BX116" s="1067"/>
      <c r="BY116" s="1067"/>
      <c r="BZ116" s="1067"/>
      <c r="CA116" s="1067"/>
      <c r="CB116" s="1067"/>
      <c r="CC116" s="1067"/>
      <c r="CD116" s="1067"/>
      <c r="CE116" s="1067"/>
      <c r="CF116" s="1067"/>
      <c r="CG116" s="1067"/>
      <c r="CH116" s="1067"/>
      <c r="CI116" s="1067"/>
      <c r="CJ116" s="1067"/>
      <c r="CK116" s="1067"/>
      <c r="CL116" s="1067"/>
      <c r="CM116" s="1082"/>
      <c r="CN116" s="1067"/>
      <c r="CO116" s="1067"/>
      <c r="CP116" s="1067"/>
      <c r="CQ116" s="1067"/>
      <c r="CR116" s="1067"/>
      <c r="CS116" s="1067"/>
      <c r="CT116" s="1067"/>
      <c r="CU116" s="1067"/>
      <c r="CV116" s="1067"/>
      <c r="CW116" s="1067"/>
      <c r="CX116" s="1067"/>
      <c r="CY116" s="1067"/>
      <c r="CZ116" s="1067"/>
      <c r="DA116" s="1067"/>
      <c r="DB116" s="1067"/>
      <c r="DC116" s="1067"/>
      <c r="DD116" s="1067"/>
      <c r="DE116" s="1067"/>
      <c r="DF116" s="1067"/>
      <c r="DG116" s="1067"/>
      <c r="DH116" s="1067"/>
      <c r="DI116" s="1082"/>
      <c r="DJ116" s="1067"/>
      <c r="DK116" s="1067"/>
      <c r="DL116" s="1067"/>
      <c r="DM116" s="1067"/>
      <c r="DN116" s="1067"/>
      <c r="DO116" s="1067"/>
      <c r="DP116" s="1067"/>
      <c r="DQ116" s="1067"/>
      <c r="DR116" s="1067"/>
      <c r="DS116" s="1067"/>
      <c r="DT116" s="1067"/>
      <c r="DU116" s="1067"/>
      <c r="DV116" s="1067"/>
      <c r="DW116" s="1067"/>
      <c r="DX116" s="1067"/>
      <c r="DY116" s="1067"/>
      <c r="DZ116" s="1067"/>
      <c r="EA116" s="1067"/>
      <c r="EB116" s="1067"/>
      <c r="EC116" s="1067"/>
      <c r="ED116" s="1067"/>
    </row>
    <row r="117" spans="1:134" ht="71.25" hidden="1" customHeight="1" x14ac:dyDescent="0.25">
      <c r="A117" s="1559"/>
      <c r="B117" s="1019" t="s">
        <v>4443</v>
      </c>
      <c r="C117" s="131" t="s">
        <v>4635</v>
      </c>
      <c r="D117" s="1019" t="s">
        <v>4460</v>
      </c>
      <c r="E117" s="1019">
        <v>301</v>
      </c>
      <c r="F117" s="1120" t="s">
        <v>4740</v>
      </c>
      <c r="G117" s="1120">
        <v>306000000</v>
      </c>
      <c r="H117" s="1061">
        <f t="shared" si="100"/>
        <v>276578734</v>
      </c>
      <c r="I117" s="1061">
        <f>Y117-H117</f>
        <v>43421266</v>
      </c>
      <c r="J117" s="1120" t="s">
        <v>4950</v>
      </c>
      <c r="K117" s="1115" t="s">
        <v>4954</v>
      </c>
      <c r="L117" s="1115" t="s">
        <v>4958</v>
      </c>
      <c r="M117" s="1283">
        <v>13</v>
      </c>
      <c r="N117" s="1115">
        <v>21</v>
      </c>
      <c r="O117" s="1115">
        <v>3</v>
      </c>
      <c r="P117" s="1283">
        <v>32</v>
      </c>
      <c r="Q117" s="1115">
        <v>47</v>
      </c>
      <c r="R117" s="1115">
        <v>15</v>
      </c>
      <c r="S117" s="1120"/>
      <c r="T117" s="1120"/>
      <c r="U117" s="1120"/>
      <c r="V117" s="1120"/>
      <c r="W117" s="1120"/>
      <c r="X117" s="1120"/>
      <c r="Y117" s="1008">
        <f t="shared" si="102"/>
        <v>320000000</v>
      </c>
      <c r="Z117" s="1008"/>
      <c r="AA117" s="1008"/>
      <c r="AB117" s="1008"/>
      <c r="AC117" s="1008"/>
      <c r="AD117" s="1008"/>
      <c r="AE117" s="1008"/>
      <c r="AF117" s="1008"/>
      <c r="AG117" s="1008"/>
      <c r="AH117" s="1008"/>
      <c r="AI117" s="1008"/>
      <c r="AJ117" s="1008"/>
      <c r="AK117" s="1008"/>
      <c r="AL117" s="1008"/>
      <c r="AM117" s="1008">
        <v>300000000</v>
      </c>
      <c r="AN117" s="1008"/>
      <c r="AO117" s="1008"/>
      <c r="AP117" s="1008"/>
      <c r="AQ117" s="1008"/>
      <c r="AR117" s="1008"/>
      <c r="AS117" s="1008">
        <f>1000000+5000000+11000000+3000000</f>
        <v>20000000</v>
      </c>
      <c r="AU117" s="1011">
        <f t="shared" si="103"/>
        <v>0.93057593750000001</v>
      </c>
      <c r="AV117" s="1008">
        <f t="shared" si="104"/>
        <v>297784300</v>
      </c>
      <c r="AW117" s="1008"/>
      <c r="AX117" s="1008"/>
      <c r="AY117" s="1008"/>
      <c r="AZ117" s="1008"/>
      <c r="BA117" s="1008"/>
      <c r="BB117" s="1008"/>
      <c r="BC117" s="1008"/>
      <c r="BD117" s="1008"/>
      <c r="BE117" s="1008"/>
      <c r="BF117" s="1008"/>
      <c r="BG117" s="1008"/>
      <c r="BH117" s="1008"/>
      <c r="BI117" s="1008"/>
      <c r="BJ117" s="1008">
        <f>+'[14]JUNIO 2015'!$W$749</f>
        <v>282584300</v>
      </c>
      <c r="BK117" s="1008"/>
      <c r="BL117" s="1008"/>
      <c r="BM117" s="1008"/>
      <c r="BN117" s="1008"/>
      <c r="BO117" s="1008"/>
      <c r="BP117" s="1008">
        <f>+'[16]AGOSTO 2015'!$AD$997</f>
        <v>15200000</v>
      </c>
      <c r="BQ117" s="1011">
        <f t="shared" si="105"/>
        <v>6.9424062499999994E-2</v>
      </c>
      <c r="BR117" s="1008">
        <f t="shared" si="106"/>
        <v>22215700</v>
      </c>
      <c r="BS117" s="1008">
        <f t="shared" si="125"/>
        <v>0</v>
      </c>
      <c r="BT117" s="1008">
        <f t="shared" si="126"/>
        <v>0</v>
      </c>
      <c r="BU117" s="1008"/>
      <c r="BV117" s="1008">
        <f t="shared" si="127"/>
        <v>0</v>
      </c>
      <c r="BW117" s="1008"/>
      <c r="BX117" s="1008">
        <f t="shared" si="128"/>
        <v>0</v>
      </c>
      <c r="BY117" s="1008">
        <f t="shared" si="128"/>
        <v>0</v>
      </c>
      <c r="BZ117" s="1008"/>
      <c r="CA117" s="1008">
        <f t="shared" si="129"/>
        <v>0</v>
      </c>
      <c r="CB117" s="1008">
        <f t="shared" si="129"/>
        <v>0</v>
      </c>
      <c r="CC117" s="1008">
        <f t="shared" si="129"/>
        <v>0</v>
      </c>
      <c r="CD117" s="1008">
        <f t="shared" si="129"/>
        <v>0</v>
      </c>
      <c r="CE117" s="1008">
        <f t="shared" si="129"/>
        <v>0</v>
      </c>
      <c r="CF117" s="1008">
        <f t="shared" si="129"/>
        <v>17415700</v>
      </c>
      <c r="CG117" s="1008">
        <f t="shared" si="129"/>
        <v>0</v>
      </c>
      <c r="CH117" s="1008">
        <f t="shared" si="111"/>
        <v>0</v>
      </c>
      <c r="CI117" s="1008">
        <f t="shared" si="111"/>
        <v>0</v>
      </c>
      <c r="CJ117" s="1008"/>
      <c r="CK117" s="1008"/>
      <c r="CL117" s="1008">
        <f t="shared" si="130"/>
        <v>4800000</v>
      </c>
      <c r="CM117" s="1011">
        <f t="shared" si="113"/>
        <v>0.86430854374999999</v>
      </c>
      <c r="CN117" s="1008">
        <f t="shared" si="114"/>
        <v>276578734</v>
      </c>
      <c r="CO117" s="1008"/>
      <c r="CP117" s="1008"/>
      <c r="CQ117" s="1008"/>
      <c r="CR117" s="1008"/>
      <c r="CS117" s="1008"/>
      <c r="CT117" s="1008"/>
      <c r="CU117" s="1008"/>
      <c r="CV117" s="1008"/>
      <c r="CW117" s="1008"/>
      <c r="CX117" s="1008"/>
      <c r="CY117" s="1008"/>
      <c r="CZ117" s="1008"/>
      <c r="DA117" s="1008"/>
      <c r="DB117" s="1008">
        <f>+'[18]OCTUBRE 2015'!$H$1316+'[18]OCTUBRE 2015'!$H$1318+'[18]OCTUBRE 2015'!$H$1320+'[18]OCTUBRE 2015'!$H$1349</f>
        <v>267643734</v>
      </c>
      <c r="DC117" s="1008"/>
      <c r="DD117" s="1008"/>
      <c r="DE117" s="1008"/>
      <c r="DF117" s="1008"/>
      <c r="DG117" s="1008"/>
      <c r="DH117" s="1008">
        <f>+'[18]OCTUBRE 2015'!$H$1357+'[18]OCTUBRE 2015'!$H$1355+'[18]OCTUBRE 2015'!$H$1350+'[18]OCTUBRE 2015'!$H$1347+'[18]OCTUBRE 2015'!$H$1315</f>
        <v>8935000</v>
      </c>
      <c r="DI117" s="1011">
        <f t="shared" si="115"/>
        <v>0.13569145625000001</v>
      </c>
      <c r="DJ117" s="1008">
        <f t="shared" si="116"/>
        <v>43421266</v>
      </c>
      <c r="DK117" s="1008">
        <f t="shared" si="131"/>
        <v>0</v>
      </c>
      <c r="DL117" s="1008"/>
      <c r="DM117" s="1008"/>
      <c r="DN117" s="1008">
        <f t="shared" si="132"/>
        <v>0</v>
      </c>
      <c r="DO117" s="1008"/>
      <c r="DP117" s="1008">
        <f t="shared" si="133"/>
        <v>0</v>
      </c>
      <c r="DQ117" s="1008">
        <f t="shared" si="133"/>
        <v>0</v>
      </c>
      <c r="DR117" s="1008"/>
      <c r="DS117" s="1008">
        <f t="shared" si="134"/>
        <v>0</v>
      </c>
      <c r="DT117" s="1008">
        <f t="shared" si="134"/>
        <v>0</v>
      </c>
      <c r="DU117" s="1008"/>
      <c r="DV117" s="1008">
        <f t="shared" si="135"/>
        <v>0</v>
      </c>
      <c r="DW117" s="1008">
        <f t="shared" si="135"/>
        <v>0</v>
      </c>
      <c r="DX117" s="1008">
        <f t="shared" si="135"/>
        <v>32356266</v>
      </c>
      <c r="DY117" s="1008">
        <f t="shared" si="136"/>
        <v>0</v>
      </c>
      <c r="DZ117" s="1008">
        <f t="shared" si="124"/>
        <v>0</v>
      </c>
      <c r="EA117" s="1008">
        <f t="shared" si="124"/>
        <v>0</v>
      </c>
      <c r="EB117" s="1008">
        <f t="shared" si="124"/>
        <v>0</v>
      </c>
      <c r="EC117" s="1008"/>
      <c r="ED117" s="1008">
        <f t="shared" si="137"/>
        <v>11065000</v>
      </c>
    </row>
    <row r="118" spans="1:134" s="203" customFormat="1" ht="27.75" hidden="1" customHeight="1" x14ac:dyDescent="0.25">
      <c r="A118" s="1559"/>
      <c r="B118" s="1019"/>
      <c r="C118" s="1631"/>
      <c r="D118" s="1019" t="s">
        <v>4945</v>
      </c>
      <c r="E118" s="1019"/>
      <c r="F118" s="1120"/>
      <c r="G118" s="1120"/>
      <c r="H118" s="1061"/>
      <c r="I118" s="1061"/>
      <c r="J118" s="1120" t="s">
        <v>4948</v>
      </c>
      <c r="K118" s="1115" t="s">
        <v>4952</v>
      </c>
      <c r="L118" s="1115" t="s">
        <v>4956</v>
      </c>
      <c r="M118" s="1573"/>
      <c r="N118" s="1115">
        <v>31</v>
      </c>
      <c r="O118" s="1115">
        <v>4</v>
      </c>
      <c r="P118" s="1573"/>
      <c r="Q118" s="1115">
        <v>31</v>
      </c>
      <c r="R118" s="1115">
        <v>0</v>
      </c>
      <c r="S118" s="1120"/>
      <c r="T118" s="1120"/>
      <c r="U118" s="1120"/>
      <c r="V118" s="1120"/>
      <c r="W118" s="1120"/>
      <c r="X118" s="1120"/>
      <c r="Y118" s="1067"/>
      <c r="Z118" s="1067"/>
      <c r="AA118" s="1067"/>
      <c r="AB118" s="1067"/>
      <c r="AC118" s="1067"/>
      <c r="AD118" s="1067"/>
      <c r="AE118" s="1067"/>
      <c r="AF118" s="1067"/>
      <c r="AG118" s="1067"/>
      <c r="AH118" s="1067"/>
      <c r="AI118" s="1067"/>
      <c r="AJ118" s="1067"/>
      <c r="AK118" s="1067"/>
      <c r="AL118" s="1067"/>
      <c r="AM118" s="1067"/>
      <c r="AN118" s="1067"/>
      <c r="AO118" s="1067"/>
      <c r="AP118" s="1067"/>
      <c r="AQ118" s="1067"/>
      <c r="AR118" s="1067"/>
      <c r="AS118" s="1067"/>
      <c r="AU118" s="1082"/>
      <c r="AV118" s="1067"/>
      <c r="AW118" s="1067"/>
      <c r="AX118" s="1067"/>
      <c r="AY118" s="1067"/>
      <c r="AZ118" s="1067"/>
      <c r="BA118" s="1067"/>
      <c r="BB118" s="1067"/>
      <c r="BC118" s="1067"/>
      <c r="BD118" s="1067"/>
      <c r="BE118" s="1067"/>
      <c r="BF118" s="1067"/>
      <c r="BG118" s="1067"/>
      <c r="BH118" s="1067"/>
      <c r="BI118" s="1067"/>
      <c r="BJ118" s="1067"/>
      <c r="BK118" s="1067"/>
      <c r="BL118" s="1067"/>
      <c r="BM118" s="1067"/>
      <c r="BN118" s="1067"/>
      <c r="BO118" s="1067"/>
      <c r="BP118" s="1067"/>
      <c r="BQ118" s="1082"/>
      <c r="BR118" s="1067"/>
      <c r="BS118" s="1067"/>
      <c r="BT118" s="1067"/>
      <c r="BU118" s="1067"/>
      <c r="BV118" s="1067"/>
      <c r="BW118" s="1067"/>
      <c r="BX118" s="1067"/>
      <c r="BY118" s="1067"/>
      <c r="BZ118" s="1067"/>
      <c r="CA118" s="1067"/>
      <c r="CB118" s="1067"/>
      <c r="CC118" s="1067"/>
      <c r="CD118" s="1067"/>
      <c r="CE118" s="1067"/>
      <c r="CF118" s="1067"/>
      <c r="CG118" s="1067"/>
      <c r="CH118" s="1067"/>
      <c r="CI118" s="1067"/>
      <c r="CJ118" s="1067"/>
      <c r="CK118" s="1067"/>
      <c r="CL118" s="1067"/>
      <c r="CM118" s="1082"/>
      <c r="CN118" s="1067"/>
      <c r="CO118" s="1067"/>
      <c r="CP118" s="1067"/>
      <c r="CQ118" s="1067"/>
      <c r="CR118" s="1067"/>
      <c r="CS118" s="1067"/>
      <c r="CT118" s="1067"/>
      <c r="CU118" s="1067"/>
      <c r="CV118" s="1067"/>
      <c r="CW118" s="1067"/>
      <c r="CX118" s="1067"/>
      <c r="CY118" s="1067"/>
      <c r="CZ118" s="1067"/>
      <c r="DA118" s="1067"/>
      <c r="DB118" s="1067"/>
      <c r="DC118" s="1067"/>
      <c r="DD118" s="1067"/>
      <c r="DE118" s="1067"/>
      <c r="DF118" s="1067"/>
      <c r="DG118" s="1067"/>
      <c r="DH118" s="1067"/>
      <c r="DI118" s="1082"/>
      <c r="DJ118" s="1067"/>
      <c r="DK118" s="1067"/>
      <c r="DL118" s="1067"/>
      <c r="DM118" s="1067"/>
      <c r="DN118" s="1067"/>
      <c r="DO118" s="1067"/>
      <c r="DP118" s="1067"/>
      <c r="DQ118" s="1067"/>
      <c r="DR118" s="1067"/>
      <c r="DS118" s="1067"/>
      <c r="DT118" s="1067"/>
      <c r="DU118" s="1067"/>
      <c r="DV118" s="1067"/>
      <c r="DW118" s="1067"/>
      <c r="DX118" s="1067"/>
      <c r="DY118" s="1067"/>
      <c r="DZ118" s="1067"/>
      <c r="EA118" s="1067"/>
      <c r="EB118" s="1067"/>
      <c r="EC118" s="1067"/>
      <c r="ED118" s="1067"/>
    </row>
    <row r="119" spans="1:134" s="203" customFormat="1" ht="21.75" hidden="1" customHeight="1" x14ac:dyDescent="0.25">
      <c r="A119" s="1559"/>
      <c r="B119" s="1019"/>
      <c r="C119" s="1631"/>
      <c r="D119" s="1019" t="s">
        <v>4946</v>
      </c>
      <c r="E119" s="1019"/>
      <c r="F119" s="1120"/>
      <c r="G119" s="1120"/>
      <c r="H119" s="1061"/>
      <c r="I119" s="1061"/>
      <c r="J119" s="1120" t="s">
        <v>4949</v>
      </c>
      <c r="K119" s="1115" t="s">
        <v>4953</v>
      </c>
      <c r="L119" s="1115" t="s">
        <v>4957</v>
      </c>
      <c r="M119" s="1573"/>
      <c r="N119" s="1115">
        <v>32</v>
      </c>
      <c r="O119" s="1115">
        <v>4</v>
      </c>
      <c r="P119" s="1573"/>
      <c r="Q119" s="1115">
        <v>66</v>
      </c>
      <c r="R119" s="1115">
        <v>0</v>
      </c>
      <c r="S119" s="1120"/>
      <c r="T119" s="1120"/>
      <c r="U119" s="1120"/>
      <c r="V119" s="1120"/>
      <c r="W119" s="1120"/>
      <c r="X119" s="1120"/>
      <c r="Y119" s="1067"/>
      <c r="Z119" s="1067"/>
      <c r="AA119" s="1067"/>
      <c r="AB119" s="1067"/>
      <c r="AC119" s="1067"/>
      <c r="AD119" s="1067"/>
      <c r="AE119" s="1067"/>
      <c r="AF119" s="1067"/>
      <c r="AG119" s="1067"/>
      <c r="AH119" s="1067"/>
      <c r="AI119" s="1067"/>
      <c r="AJ119" s="1067"/>
      <c r="AK119" s="1067"/>
      <c r="AL119" s="1067"/>
      <c r="AM119" s="1067"/>
      <c r="AN119" s="1067"/>
      <c r="AO119" s="1067"/>
      <c r="AP119" s="1067"/>
      <c r="AQ119" s="1067"/>
      <c r="AR119" s="1067"/>
      <c r="AS119" s="1067"/>
      <c r="AU119" s="1082"/>
      <c r="AV119" s="1067"/>
      <c r="AW119" s="1067"/>
      <c r="AX119" s="1067"/>
      <c r="AY119" s="1067"/>
      <c r="AZ119" s="1067"/>
      <c r="BA119" s="1067"/>
      <c r="BB119" s="1067"/>
      <c r="BC119" s="1067"/>
      <c r="BD119" s="1067"/>
      <c r="BE119" s="1067"/>
      <c r="BF119" s="1067"/>
      <c r="BG119" s="1067"/>
      <c r="BH119" s="1067"/>
      <c r="BI119" s="1067"/>
      <c r="BJ119" s="1067"/>
      <c r="BK119" s="1067"/>
      <c r="BL119" s="1067"/>
      <c r="BM119" s="1067"/>
      <c r="BN119" s="1067"/>
      <c r="BO119" s="1067"/>
      <c r="BP119" s="1067"/>
      <c r="BQ119" s="1082"/>
      <c r="BR119" s="1067"/>
      <c r="BS119" s="1067"/>
      <c r="BT119" s="1067"/>
      <c r="BU119" s="1067"/>
      <c r="BV119" s="1067"/>
      <c r="BW119" s="1067"/>
      <c r="BX119" s="1067"/>
      <c r="BY119" s="1067"/>
      <c r="BZ119" s="1067"/>
      <c r="CA119" s="1067"/>
      <c r="CB119" s="1067"/>
      <c r="CC119" s="1067"/>
      <c r="CD119" s="1067"/>
      <c r="CE119" s="1067"/>
      <c r="CF119" s="1067"/>
      <c r="CG119" s="1067"/>
      <c r="CH119" s="1067"/>
      <c r="CI119" s="1067"/>
      <c r="CJ119" s="1067"/>
      <c r="CK119" s="1067"/>
      <c r="CL119" s="1067"/>
      <c r="CM119" s="1082"/>
      <c r="CN119" s="1067"/>
      <c r="CO119" s="1067"/>
      <c r="CP119" s="1067"/>
      <c r="CQ119" s="1067"/>
      <c r="CR119" s="1067"/>
      <c r="CS119" s="1067"/>
      <c r="CT119" s="1067"/>
      <c r="CU119" s="1067"/>
      <c r="CV119" s="1067"/>
      <c r="CW119" s="1067"/>
      <c r="CX119" s="1067"/>
      <c r="CY119" s="1067"/>
      <c r="CZ119" s="1067"/>
      <c r="DA119" s="1067"/>
      <c r="DB119" s="1067"/>
      <c r="DC119" s="1067"/>
      <c r="DD119" s="1067"/>
      <c r="DE119" s="1067"/>
      <c r="DF119" s="1067"/>
      <c r="DG119" s="1067"/>
      <c r="DH119" s="1067"/>
      <c r="DI119" s="1082"/>
      <c r="DJ119" s="1067"/>
      <c r="DK119" s="1067"/>
      <c r="DL119" s="1067"/>
      <c r="DM119" s="1067"/>
      <c r="DN119" s="1067"/>
      <c r="DO119" s="1067"/>
      <c r="DP119" s="1067"/>
      <c r="DQ119" s="1067"/>
      <c r="DR119" s="1067"/>
      <c r="DS119" s="1067"/>
      <c r="DT119" s="1067"/>
      <c r="DU119" s="1067"/>
      <c r="DV119" s="1067"/>
      <c r="DW119" s="1067"/>
      <c r="DX119" s="1067"/>
      <c r="DY119" s="1067"/>
      <c r="DZ119" s="1067"/>
      <c r="EA119" s="1067"/>
      <c r="EB119" s="1067"/>
      <c r="EC119" s="1067"/>
      <c r="ED119" s="1067"/>
    </row>
    <row r="120" spans="1:134" s="203" customFormat="1" ht="27" hidden="1" customHeight="1" x14ac:dyDescent="0.25">
      <c r="A120" s="1559"/>
      <c r="B120" s="1019"/>
      <c r="C120" s="1631"/>
      <c r="D120" s="1019" t="s">
        <v>4947</v>
      </c>
      <c r="E120" s="1019"/>
      <c r="F120" s="1120"/>
      <c r="G120" s="1120"/>
      <c r="H120" s="1061"/>
      <c r="I120" s="1061"/>
      <c r="J120" s="1120" t="s">
        <v>4951</v>
      </c>
      <c r="K120" s="1115" t="s">
        <v>4955</v>
      </c>
      <c r="L120" s="1115" t="s">
        <v>4959</v>
      </c>
      <c r="M120" s="1284"/>
      <c r="N120" s="1115">
        <v>42</v>
      </c>
      <c r="O120" s="1115">
        <v>5</v>
      </c>
      <c r="P120" s="1284"/>
      <c r="Q120" s="1115">
        <v>87</v>
      </c>
      <c r="R120" s="1115">
        <v>0</v>
      </c>
      <c r="S120" s="1120"/>
      <c r="T120" s="1120"/>
      <c r="U120" s="1120"/>
      <c r="V120" s="1120"/>
      <c r="W120" s="1120"/>
      <c r="X120" s="1120"/>
      <c r="Y120" s="1067"/>
      <c r="Z120" s="1067"/>
      <c r="AA120" s="1067"/>
      <c r="AB120" s="1067"/>
      <c r="AC120" s="1067"/>
      <c r="AD120" s="1067"/>
      <c r="AE120" s="1067"/>
      <c r="AF120" s="1067"/>
      <c r="AG120" s="1067"/>
      <c r="AH120" s="1067"/>
      <c r="AI120" s="1067"/>
      <c r="AJ120" s="1067"/>
      <c r="AK120" s="1067"/>
      <c r="AL120" s="1067"/>
      <c r="AM120" s="1067"/>
      <c r="AN120" s="1067"/>
      <c r="AO120" s="1067"/>
      <c r="AP120" s="1067"/>
      <c r="AQ120" s="1067"/>
      <c r="AR120" s="1067"/>
      <c r="AS120" s="1067"/>
      <c r="AU120" s="1082"/>
      <c r="AV120" s="1067"/>
      <c r="AW120" s="1067"/>
      <c r="AX120" s="1067"/>
      <c r="AY120" s="1067"/>
      <c r="AZ120" s="1067"/>
      <c r="BA120" s="1067"/>
      <c r="BB120" s="1067"/>
      <c r="BC120" s="1067"/>
      <c r="BD120" s="1067"/>
      <c r="BE120" s="1067"/>
      <c r="BF120" s="1067"/>
      <c r="BG120" s="1067"/>
      <c r="BH120" s="1067"/>
      <c r="BI120" s="1067"/>
      <c r="BJ120" s="1067"/>
      <c r="BK120" s="1067"/>
      <c r="BL120" s="1067"/>
      <c r="BM120" s="1067"/>
      <c r="BN120" s="1067"/>
      <c r="BO120" s="1067"/>
      <c r="BP120" s="1067"/>
      <c r="BQ120" s="1082"/>
      <c r="BR120" s="1067"/>
      <c r="BS120" s="1067"/>
      <c r="BT120" s="1067"/>
      <c r="BU120" s="1067"/>
      <c r="BV120" s="1067"/>
      <c r="BW120" s="1067"/>
      <c r="BX120" s="1067"/>
      <c r="BY120" s="1067"/>
      <c r="BZ120" s="1067"/>
      <c r="CA120" s="1067"/>
      <c r="CB120" s="1067"/>
      <c r="CC120" s="1067"/>
      <c r="CD120" s="1067"/>
      <c r="CE120" s="1067"/>
      <c r="CF120" s="1067"/>
      <c r="CG120" s="1067"/>
      <c r="CH120" s="1067"/>
      <c r="CI120" s="1067"/>
      <c r="CJ120" s="1067"/>
      <c r="CK120" s="1067"/>
      <c r="CL120" s="1067"/>
      <c r="CM120" s="1082"/>
      <c r="CN120" s="1067"/>
      <c r="CO120" s="1067"/>
      <c r="CP120" s="1067"/>
      <c r="CQ120" s="1067"/>
      <c r="CR120" s="1067"/>
      <c r="CS120" s="1067"/>
      <c r="CT120" s="1067"/>
      <c r="CU120" s="1067"/>
      <c r="CV120" s="1067"/>
      <c r="CW120" s="1067"/>
      <c r="CX120" s="1067"/>
      <c r="CY120" s="1067"/>
      <c r="CZ120" s="1067"/>
      <c r="DA120" s="1067"/>
      <c r="DB120" s="1067"/>
      <c r="DC120" s="1067"/>
      <c r="DD120" s="1067"/>
      <c r="DE120" s="1067"/>
      <c r="DF120" s="1067"/>
      <c r="DG120" s="1067"/>
      <c r="DH120" s="1067"/>
      <c r="DI120" s="1082"/>
      <c r="DJ120" s="1067"/>
      <c r="DK120" s="1067"/>
      <c r="DL120" s="1067"/>
      <c r="DM120" s="1067"/>
      <c r="DN120" s="1067"/>
      <c r="DO120" s="1067"/>
      <c r="DP120" s="1067"/>
      <c r="DQ120" s="1067"/>
      <c r="DR120" s="1067"/>
      <c r="DS120" s="1067"/>
      <c r="DT120" s="1067"/>
      <c r="DU120" s="1067"/>
      <c r="DV120" s="1067"/>
      <c r="DW120" s="1067"/>
      <c r="DX120" s="1067"/>
      <c r="DY120" s="1067"/>
      <c r="DZ120" s="1067"/>
      <c r="EA120" s="1067"/>
      <c r="EB120" s="1067"/>
      <c r="EC120" s="1067"/>
      <c r="ED120" s="1067"/>
    </row>
    <row r="121" spans="1:134" ht="36.75" hidden="1" customHeight="1" x14ac:dyDescent="0.25">
      <c r="A121" s="1559"/>
      <c r="B121" s="1019" t="s">
        <v>4444</v>
      </c>
      <c r="C121" s="131" t="s">
        <v>4636</v>
      </c>
      <c r="D121" s="1019" t="s">
        <v>4960</v>
      </c>
      <c r="E121" s="1019">
        <v>301</v>
      </c>
      <c r="F121" s="1120" t="s">
        <v>4741</v>
      </c>
      <c r="G121" s="1120">
        <v>67000000</v>
      </c>
      <c r="H121" s="1061">
        <f t="shared" si="100"/>
        <v>3045000</v>
      </c>
      <c r="I121" s="1061">
        <f>Y121-H121</f>
        <v>19955000</v>
      </c>
      <c r="J121" s="1120" t="s">
        <v>4962</v>
      </c>
      <c r="K121" s="1115" t="s">
        <v>4963</v>
      </c>
      <c r="L121" s="1115" t="s">
        <v>4965</v>
      </c>
      <c r="M121" s="1283">
        <v>0</v>
      </c>
      <c r="N121" s="1115">
        <v>0</v>
      </c>
      <c r="O121" s="1115">
        <v>0</v>
      </c>
      <c r="P121" s="1283">
        <v>15</v>
      </c>
      <c r="Q121" s="1115">
        <v>0</v>
      </c>
      <c r="R121" s="1115">
        <v>0</v>
      </c>
      <c r="S121" s="1120"/>
      <c r="T121" s="1120"/>
      <c r="U121" s="1120"/>
      <c r="V121" s="1120"/>
      <c r="W121" s="1120"/>
      <c r="X121" s="1120"/>
      <c r="Y121" s="1008">
        <f t="shared" si="102"/>
        <v>23000000</v>
      </c>
      <c r="Z121" s="1008"/>
      <c r="AA121" s="1008"/>
      <c r="AB121" s="1008"/>
      <c r="AC121" s="1008"/>
      <c r="AD121" s="1008"/>
      <c r="AE121" s="1008"/>
      <c r="AF121" s="1008"/>
      <c r="AG121" s="1008"/>
      <c r="AH121" s="1008"/>
      <c r="AI121" s="1008"/>
      <c r="AJ121" s="1008"/>
      <c r="AK121" s="1008"/>
      <c r="AL121" s="1008"/>
      <c r="AM121" s="1008">
        <f>67000000-52000000</f>
        <v>15000000</v>
      </c>
      <c r="AN121" s="1008"/>
      <c r="AO121" s="1008"/>
      <c r="AP121" s="1008"/>
      <c r="AQ121" s="1008"/>
      <c r="AR121" s="1008"/>
      <c r="AS121" s="1008">
        <f>5000000+3000000</f>
        <v>8000000</v>
      </c>
      <c r="AU121" s="1011">
        <f t="shared" si="103"/>
        <v>1</v>
      </c>
      <c r="AV121" s="1008">
        <f t="shared" si="104"/>
        <v>23000000</v>
      </c>
      <c r="AW121" s="1008"/>
      <c r="AX121" s="1008"/>
      <c r="AY121" s="1008"/>
      <c r="AZ121" s="1008"/>
      <c r="BA121" s="1008"/>
      <c r="BB121" s="1008"/>
      <c r="BC121" s="1008"/>
      <c r="BD121" s="1008"/>
      <c r="BE121" s="1008"/>
      <c r="BF121" s="1008"/>
      <c r="BG121" s="1008"/>
      <c r="BH121" s="1008"/>
      <c r="BI121" s="1008"/>
      <c r="BJ121" s="1008">
        <f>+'[10]MARZO 2015'!$V$535</f>
        <v>15000000</v>
      </c>
      <c r="BK121" s="1008"/>
      <c r="BL121" s="1008"/>
      <c r="BM121" s="1008"/>
      <c r="BN121" s="1008"/>
      <c r="BO121" s="1008"/>
      <c r="BP121" s="1008">
        <f>+'[17]SEPTIEMBRE 2015'!$AD$1193</f>
        <v>8000000</v>
      </c>
      <c r="BQ121" s="1011">
        <f t="shared" si="105"/>
        <v>0</v>
      </c>
      <c r="BR121" s="1008">
        <f t="shared" si="106"/>
        <v>0</v>
      </c>
      <c r="BS121" s="1008">
        <f t="shared" si="125"/>
        <v>0</v>
      </c>
      <c r="BT121" s="1008">
        <f t="shared" si="126"/>
        <v>0</v>
      </c>
      <c r="BU121" s="1008"/>
      <c r="BV121" s="1008">
        <f t="shared" si="127"/>
        <v>0</v>
      </c>
      <c r="BW121" s="1008"/>
      <c r="BX121" s="1008">
        <f t="shared" si="128"/>
        <v>0</v>
      </c>
      <c r="BY121" s="1008">
        <f t="shared" si="128"/>
        <v>0</v>
      </c>
      <c r="BZ121" s="1008"/>
      <c r="CA121" s="1008"/>
      <c r="CB121" s="1008"/>
      <c r="CC121" s="1008"/>
      <c r="CD121" s="1008">
        <f t="shared" si="129"/>
        <v>0</v>
      </c>
      <c r="CE121" s="1008">
        <f t="shared" si="129"/>
        <v>0</v>
      </c>
      <c r="CF121" s="1008">
        <f t="shared" si="129"/>
        <v>0</v>
      </c>
      <c r="CG121" s="1008">
        <f t="shared" si="129"/>
        <v>0</v>
      </c>
      <c r="CH121" s="1008">
        <f t="shared" si="111"/>
        <v>0</v>
      </c>
      <c r="CI121" s="1008">
        <f t="shared" si="111"/>
        <v>0</v>
      </c>
      <c r="CJ121" s="1008"/>
      <c r="CK121" s="1008"/>
      <c r="CL121" s="1008">
        <f t="shared" si="130"/>
        <v>0</v>
      </c>
      <c r="CM121" s="1011">
        <f t="shared" si="113"/>
        <v>0.13239130434782609</v>
      </c>
      <c r="CN121" s="1008">
        <f t="shared" si="114"/>
        <v>3045000</v>
      </c>
      <c r="CO121" s="1008"/>
      <c r="CP121" s="1008"/>
      <c r="CQ121" s="1008"/>
      <c r="CR121" s="1008"/>
      <c r="CS121" s="1008"/>
      <c r="CT121" s="1008"/>
      <c r="CU121" s="1008"/>
      <c r="CV121" s="1008"/>
      <c r="CW121" s="1008"/>
      <c r="CX121" s="1008"/>
      <c r="CY121" s="1008"/>
      <c r="CZ121" s="1008"/>
      <c r="DA121" s="1008"/>
      <c r="DB121" s="1008"/>
      <c r="DC121" s="1008"/>
      <c r="DD121" s="1008"/>
      <c r="DE121" s="1008"/>
      <c r="DF121" s="1008"/>
      <c r="DG121" s="1008"/>
      <c r="DH121" s="1008">
        <f>+'[14]JUNIO 2015'!$H$782</f>
        <v>3045000</v>
      </c>
      <c r="DI121" s="1011">
        <f t="shared" si="115"/>
        <v>0.86760869565217391</v>
      </c>
      <c r="DJ121" s="1008">
        <f t="shared" si="116"/>
        <v>19955000</v>
      </c>
      <c r="DK121" s="1008">
        <f t="shared" si="131"/>
        <v>0</v>
      </c>
      <c r="DL121" s="1008"/>
      <c r="DM121" s="1008"/>
      <c r="DN121" s="1008">
        <f t="shared" si="132"/>
        <v>0</v>
      </c>
      <c r="DO121" s="1008"/>
      <c r="DP121" s="1008">
        <f t="shared" si="133"/>
        <v>0</v>
      </c>
      <c r="DQ121" s="1008">
        <f t="shared" si="133"/>
        <v>0</v>
      </c>
      <c r="DR121" s="1008"/>
      <c r="DS121" s="1008">
        <f t="shared" si="134"/>
        <v>0</v>
      </c>
      <c r="DT121" s="1008">
        <f t="shared" si="134"/>
        <v>0</v>
      </c>
      <c r="DU121" s="1008"/>
      <c r="DV121" s="1008">
        <f t="shared" si="135"/>
        <v>0</v>
      </c>
      <c r="DW121" s="1008">
        <f t="shared" si="135"/>
        <v>0</v>
      </c>
      <c r="DX121" s="1008">
        <f t="shared" si="135"/>
        <v>15000000</v>
      </c>
      <c r="DY121" s="1008">
        <f t="shared" si="136"/>
        <v>0</v>
      </c>
      <c r="DZ121" s="1008">
        <f t="shared" si="124"/>
        <v>0</v>
      </c>
      <c r="EA121" s="1008">
        <f t="shared" si="124"/>
        <v>0</v>
      </c>
      <c r="EB121" s="1008">
        <f t="shared" si="124"/>
        <v>0</v>
      </c>
      <c r="EC121" s="1008"/>
      <c r="ED121" s="1008">
        <f t="shared" si="137"/>
        <v>4955000</v>
      </c>
    </row>
    <row r="122" spans="1:134" s="203" customFormat="1" ht="29.25" hidden="1" customHeight="1" x14ac:dyDescent="0.25">
      <c r="A122" s="1559"/>
      <c r="B122" s="1019"/>
      <c r="C122" s="1631"/>
      <c r="D122" s="1019" t="s">
        <v>4961</v>
      </c>
      <c r="E122" s="1019"/>
      <c r="F122" s="1120"/>
      <c r="G122" s="1124"/>
      <c r="H122" s="1061"/>
      <c r="I122" s="1061"/>
      <c r="J122" s="1120" t="s">
        <v>4778</v>
      </c>
      <c r="K122" s="1115" t="s">
        <v>4964</v>
      </c>
      <c r="L122" s="1115" t="s">
        <v>4778</v>
      </c>
      <c r="M122" s="1284"/>
      <c r="N122" s="1115">
        <v>0</v>
      </c>
      <c r="O122" s="1115">
        <v>0</v>
      </c>
      <c r="P122" s="1284"/>
      <c r="Q122" s="1115">
        <v>110</v>
      </c>
      <c r="R122" s="1115">
        <v>0</v>
      </c>
      <c r="S122" s="1120"/>
      <c r="T122" s="1120"/>
      <c r="U122" s="1120"/>
      <c r="V122" s="1120"/>
      <c r="W122" s="1120"/>
      <c r="X122" s="1120"/>
      <c r="Y122" s="1067"/>
      <c r="Z122" s="1067"/>
      <c r="AA122" s="1067"/>
      <c r="AB122" s="1067"/>
      <c r="AC122" s="1067"/>
      <c r="AD122" s="1067"/>
      <c r="AE122" s="1067"/>
      <c r="AF122" s="1067"/>
      <c r="AG122" s="1067"/>
      <c r="AH122" s="1067"/>
      <c r="AI122" s="1067"/>
      <c r="AJ122" s="1067"/>
      <c r="AK122" s="1067"/>
      <c r="AL122" s="1067"/>
      <c r="AM122" s="1067"/>
      <c r="AN122" s="1067"/>
      <c r="AO122" s="1067"/>
      <c r="AP122" s="1067"/>
      <c r="AQ122" s="1067"/>
      <c r="AR122" s="1067"/>
      <c r="AS122" s="1067"/>
      <c r="AU122" s="1082"/>
      <c r="AV122" s="1067"/>
      <c r="AW122" s="1067"/>
      <c r="AX122" s="1067"/>
      <c r="AY122" s="1067"/>
      <c r="AZ122" s="1067"/>
      <c r="BA122" s="1067"/>
      <c r="BB122" s="1067"/>
      <c r="BC122" s="1067"/>
      <c r="BD122" s="1067"/>
      <c r="BE122" s="1067"/>
      <c r="BF122" s="1067"/>
      <c r="BG122" s="1067"/>
      <c r="BH122" s="1067"/>
      <c r="BI122" s="1067"/>
      <c r="BJ122" s="1067"/>
      <c r="BK122" s="1067"/>
      <c r="BL122" s="1067"/>
      <c r="BM122" s="1067"/>
      <c r="BN122" s="1067"/>
      <c r="BO122" s="1067"/>
      <c r="BP122" s="1067"/>
      <c r="BQ122" s="1082"/>
      <c r="BR122" s="1067"/>
      <c r="BS122" s="1067"/>
      <c r="BT122" s="1067"/>
      <c r="BU122" s="1067"/>
      <c r="BV122" s="1067"/>
      <c r="BW122" s="1067"/>
      <c r="BX122" s="1067"/>
      <c r="BY122" s="1067"/>
      <c r="BZ122" s="1067"/>
      <c r="CA122" s="1067"/>
      <c r="CB122" s="1067"/>
      <c r="CC122" s="1067"/>
      <c r="CD122" s="1067"/>
      <c r="CE122" s="1067"/>
      <c r="CF122" s="1067"/>
      <c r="CG122" s="1067"/>
      <c r="CH122" s="1067"/>
      <c r="CI122" s="1067"/>
      <c r="CJ122" s="1067"/>
      <c r="CK122" s="1067"/>
      <c r="CL122" s="1067"/>
      <c r="CM122" s="1082"/>
      <c r="CN122" s="1067"/>
      <c r="CO122" s="1067"/>
      <c r="CP122" s="1067"/>
      <c r="CQ122" s="1067"/>
      <c r="CR122" s="1067"/>
      <c r="CS122" s="1067"/>
      <c r="CT122" s="1067"/>
      <c r="CU122" s="1067"/>
      <c r="CV122" s="1067"/>
      <c r="CW122" s="1067"/>
      <c r="CX122" s="1067"/>
      <c r="CY122" s="1067"/>
      <c r="CZ122" s="1067"/>
      <c r="DA122" s="1067"/>
      <c r="DB122" s="1067"/>
      <c r="DC122" s="1067"/>
      <c r="DD122" s="1067"/>
      <c r="DE122" s="1067"/>
      <c r="DF122" s="1067"/>
      <c r="DG122" s="1067"/>
      <c r="DH122" s="1067"/>
      <c r="DI122" s="1082"/>
      <c r="DJ122" s="1067"/>
      <c r="DK122" s="1067"/>
      <c r="DL122" s="1067"/>
      <c r="DM122" s="1067"/>
      <c r="DN122" s="1067"/>
      <c r="DO122" s="1067"/>
      <c r="DP122" s="1067"/>
      <c r="DQ122" s="1067"/>
      <c r="DR122" s="1067"/>
      <c r="DS122" s="1067"/>
      <c r="DT122" s="1067"/>
      <c r="DU122" s="1067"/>
      <c r="DV122" s="1067"/>
      <c r="DW122" s="1067"/>
      <c r="DX122" s="1067"/>
      <c r="DY122" s="1067"/>
      <c r="DZ122" s="1067"/>
      <c r="EA122" s="1067"/>
      <c r="EB122" s="1067"/>
      <c r="EC122" s="1067"/>
      <c r="ED122" s="1067"/>
    </row>
    <row r="123" spans="1:134" ht="36" hidden="1" customHeight="1" x14ac:dyDescent="0.25">
      <c r="A123" s="1559"/>
      <c r="B123" s="1019" t="s">
        <v>4445</v>
      </c>
      <c r="C123" s="131" t="s">
        <v>4466</v>
      </c>
      <c r="D123" s="1019" t="s">
        <v>4637</v>
      </c>
      <c r="E123" s="1019">
        <v>301</v>
      </c>
      <c r="F123" s="1120" t="s">
        <v>4661</v>
      </c>
      <c r="G123" s="1399">
        <v>900000000</v>
      </c>
      <c r="H123" s="1061">
        <f t="shared" si="100"/>
        <v>1110451728</v>
      </c>
      <c r="I123" s="1061">
        <f>Y123-H123</f>
        <v>27985072</v>
      </c>
      <c r="J123" s="1120" t="s">
        <v>4967</v>
      </c>
      <c r="K123" s="1115" t="s">
        <v>4969</v>
      </c>
      <c r="L123" s="1115" t="s">
        <v>4971</v>
      </c>
      <c r="M123" s="1283">
        <v>33</v>
      </c>
      <c r="N123" s="1115">
        <v>8</v>
      </c>
      <c r="O123" s="1283">
        <v>3</v>
      </c>
      <c r="P123" s="1283">
        <v>99</v>
      </c>
      <c r="Q123" s="1115">
        <v>22</v>
      </c>
      <c r="R123" s="1115">
        <v>22</v>
      </c>
      <c r="S123" s="1120"/>
      <c r="T123" s="1120"/>
      <c r="U123" s="1120"/>
      <c r="V123" s="1120"/>
      <c r="W123" s="1120"/>
      <c r="X123" s="1120"/>
      <c r="Y123" s="1008">
        <f t="shared" si="102"/>
        <v>1138436800</v>
      </c>
      <c r="Z123" s="1008">
        <v>24079469</v>
      </c>
      <c r="AA123" s="1008"/>
      <c r="AB123" s="1008"/>
      <c r="AC123" s="1008"/>
      <c r="AD123" s="1008"/>
      <c r="AE123" s="1008"/>
      <c r="AF123" s="1008"/>
      <c r="AG123" s="1008"/>
      <c r="AH123" s="1008"/>
      <c r="AI123" s="1008"/>
      <c r="AJ123" s="1008"/>
      <c r="AK123" s="1008"/>
      <c r="AL123" s="1008"/>
      <c r="AM123" s="1008">
        <v>52000000</v>
      </c>
      <c r="AN123" s="1008">
        <v>109019196</v>
      </c>
      <c r="AO123" s="1008">
        <f>47588221+35749914</f>
        <v>83338135</v>
      </c>
      <c r="AP123" s="1008">
        <v>870000000</v>
      </c>
      <c r="AQ123" s="1008"/>
      <c r="AR123" s="1008"/>
      <c r="AS123" s="1008"/>
      <c r="AU123" s="1011">
        <f t="shared" si="103"/>
        <v>0.97942611131333768</v>
      </c>
      <c r="AV123" s="1008">
        <f t="shared" si="104"/>
        <v>1115014728</v>
      </c>
      <c r="AW123" s="1008">
        <f>+'[17]SEPTIEMBRE 2015'!$J$1202</f>
        <v>23245422</v>
      </c>
      <c r="AX123" s="1008"/>
      <c r="AY123" s="1008"/>
      <c r="AZ123" s="1008"/>
      <c r="BA123" s="1008"/>
      <c r="BB123" s="1008"/>
      <c r="BC123" s="1008"/>
      <c r="BD123" s="1008"/>
      <c r="BE123" s="1008"/>
      <c r="BF123" s="1008"/>
      <c r="BG123" s="1008"/>
      <c r="BH123" s="1008"/>
      <c r="BI123" s="1008"/>
      <c r="BJ123" s="1008">
        <f>+'[14]JUNIO 2015'!$W$788</f>
        <v>52000000</v>
      </c>
      <c r="BK123" s="1008">
        <f>+'[14]JUNIO 2015'!$X$788</f>
        <v>109019196</v>
      </c>
      <c r="BL123" s="1008">
        <f>+'[18]OCTUBRE 2015'!$Y$1372</f>
        <v>60750110</v>
      </c>
      <c r="BM123" s="1008">
        <f>+'[14]JUNIO 2015'!$Z$788</f>
        <v>870000000</v>
      </c>
      <c r="BN123" s="1008"/>
      <c r="BO123" s="1008"/>
      <c r="BP123" s="1008"/>
      <c r="BQ123" s="1011">
        <f t="shared" si="105"/>
        <v>2.0573888686662323E-2</v>
      </c>
      <c r="BR123" s="1008">
        <f t="shared" si="106"/>
        <v>23422072</v>
      </c>
      <c r="BS123" s="1008">
        <f t="shared" si="125"/>
        <v>834047</v>
      </c>
      <c r="BT123" s="1008">
        <f t="shared" si="126"/>
        <v>0</v>
      </c>
      <c r="BU123" s="1008"/>
      <c r="BV123" s="1008">
        <f t="shared" si="127"/>
        <v>0</v>
      </c>
      <c r="BW123" s="1008"/>
      <c r="BX123" s="1008">
        <f t="shared" si="128"/>
        <v>0</v>
      </c>
      <c r="BY123" s="1008">
        <f t="shared" si="128"/>
        <v>0</v>
      </c>
      <c r="BZ123" s="1008"/>
      <c r="CA123" s="1008"/>
      <c r="CB123" s="1008"/>
      <c r="CC123" s="1008"/>
      <c r="CD123" s="1008">
        <f t="shared" si="129"/>
        <v>0</v>
      </c>
      <c r="CE123" s="1008">
        <f t="shared" si="129"/>
        <v>0</v>
      </c>
      <c r="CF123" s="1008">
        <f t="shared" si="129"/>
        <v>0</v>
      </c>
      <c r="CG123" s="1008">
        <f t="shared" si="129"/>
        <v>0</v>
      </c>
      <c r="CH123" s="1008">
        <f t="shared" si="111"/>
        <v>22588025</v>
      </c>
      <c r="CI123" s="1008">
        <f t="shared" si="111"/>
        <v>0</v>
      </c>
      <c r="CJ123" s="1008"/>
      <c r="CK123" s="1008"/>
      <c r="CL123" s="1008">
        <f t="shared" si="130"/>
        <v>0</v>
      </c>
      <c r="CM123" s="1011">
        <f t="shared" si="113"/>
        <v>0.97541798367726695</v>
      </c>
      <c r="CN123" s="1008">
        <f t="shared" si="114"/>
        <v>1110451728</v>
      </c>
      <c r="CO123" s="1008">
        <f>+'[18]OCTUBRE 2015'!$H$1378+'[18]OCTUBRE 2015'!$H$1392+'[18]OCTUBRE 2015'!$H$1394</f>
        <v>23245422</v>
      </c>
      <c r="CP123" s="1008"/>
      <c r="CQ123" s="1008"/>
      <c r="CR123" s="1008"/>
      <c r="CS123" s="1008"/>
      <c r="CT123" s="1008"/>
      <c r="CU123" s="1008"/>
      <c r="CV123" s="1008"/>
      <c r="CW123" s="1008"/>
      <c r="CX123" s="1008"/>
      <c r="CY123" s="1008"/>
      <c r="CZ123" s="1008"/>
      <c r="DA123" s="1008"/>
      <c r="DB123" s="1008">
        <f>+'[18]OCTUBRE 2015'!$H$1387+'[18]OCTUBRE 2015'!$H$1390</f>
        <v>52000000</v>
      </c>
      <c r="DC123" s="1008">
        <f>+'[18]OCTUBRE 2015'!$H$1380</f>
        <v>108815808</v>
      </c>
      <c r="DD123" s="1008">
        <f>+'[18]OCTUBRE 2015'!$H$1385+'[18]OCTUBRE 2015'!$H$1389+'[18]OCTUBRE 2015'!$H$1396+'[18]OCTUBRE 2015'!$H$1398+'[18]OCTUBRE 2015'!$H$1400</f>
        <v>56390498</v>
      </c>
      <c r="DE123" s="1008">
        <f>+'[11]ABRIL 2015'!$H$632</f>
        <v>870000000</v>
      </c>
      <c r="DF123" s="1008"/>
      <c r="DG123" s="1008"/>
      <c r="DH123" s="1008"/>
      <c r="DI123" s="1011">
        <f t="shared" si="115"/>
        <v>2.4582016322733047E-2</v>
      </c>
      <c r="DJ123" s="1008">
        <f t="shared" si="116"/>
        <v>27985072</v>
      </c>
      <c r="DK123" s="1008">
        <f t="shared" si="131"/>
        <v>834047</v>
      </c>
      <c r="DL123" s="1008"/>
      <c r="DM123" s="1008"/>
      <c r="DN123" s="1008">
        <f t="shared" si="132"/>
        <v>0</v>
      </c>
      <c r="DO123" s="1008"/>
      <c r="DP123" s="1008">
        <f t="shared" si="133"/>
        <v>0</v>
      </c>
      <c r="DQ123" s="1008">
        <f t="shared" si="133"/>
        <v>0</v>
      </c>
      <c r="DR123" s="1008"/>
      <c r="DS123" s="1008">
        <f t="shared" si="134"/>
        <v>0</v>
      </c>
      <c r="DT123" s="1008">
        <f t="shared" si="134"/>
        <v>0</v>
      </c>
      <c r="DU123" s="1008"/>
      <c r="DV123" s="1008">
        <f t="shared" si="135"/>
        <v>0</v>
      </c>
      <c r="DW123" s="1008">
        <f t="shared" si="135"/>
        <v>0</v>
      </c>
      <c r="DX123" s="1008">
        <f t="shared" si="135"/>
        <v>0</v>
      </c>
      <c r="DY123" s="1008">
        <f t="shared" si="136"/>
        <v>203388</v>
      </c>
      <c r="DZ123" s="1008">
        <f t="shared" si="124"/>
        <v>26947637</v>
      </c>
      <c r="EA123" s="1008">
        <f t="shared" si="124"/>
        <v>0</v>
      </c>
      <c r="EB123" s="1008">
        <f t="shared" si="124"/>
        <v>0</v>
      </c>
      <c r="EC123" s="1008"/>
      <c r="ED123" s="1008">
        <f t="shared" si="137"/>
        <v>0</v>
      </c>
    </row>
    <row r="124" spans="1:134" s="203" customFormat="1" ht="31.5" hidden="1" customHeight="1" x14ac:dyDescent="0.25">
      <c r="A124" s="1559"/>
      <c r="B124" s="1019"/>
      <c r="C124" s="1631"/>
      <c r="D124" s="1019" t="s">
        <v>4966</v>
      </c>
      <c r="E124" s="1019"/>
      <c r="F124" s="1120"/>
      <c r="G124" s="1400"/>
      <c r="H124" s="1061"/>
      <c r="I124" s="1061"/>
      <c r="J124" s="1120" t="s">
        <v>4968</v>
      </c>
      <c r="K124" s="1115" t="s">
        <v>4970</v>
      </c>
      <c r="L124" s="1115" t="s">
        <v>4972</v>
      </c>
      <c r="M124" s="1573"/>
      <c r="N124" s="1115">
        <v>9</v>
      </c>
      <c r="O124" s="1573"/>
      <c r="P124" s="1573"/>
      <c r="Q124" s="1115">
        <v>26</v>
      </c>
      <c r="R124" s="1115">
        <v>0</v>
      </c>
      <c r="S124" s="1120"/>
      <c r="T124" s="1120"/>
      <c r="U124" s="1120"/>
      <c r="V124" s="1120"/>
      <c r="W124" s="1120"/>
      <c r="X124" s="1120"/>
      <c r="Y124" s="1067"/>
      <c r="Z124" s="1067"/>
      <c r="AA124" s="1067"/>
      <c r="AB124" s="1067"/>
      <c r="AC124" s="1067"/>
      <c r="AD124" s="1067"/>
      <c r="AE124" s="1067"/>
      <c r="AF124" s="1067"/>
      <c r="AG124" s="1067"/>
      <c r="AH124" s="1067"/>
      <c r="AI124" s="1067"/>
      <c r="AJ124" s="1067"/>
      <c r="AK124" s="1067"/>
      <c r="AL124" s="1067"/>
      <c r="AM124" s="1067"/>
      <c r="AN124" s="1067"/>
      <c r="AO124" s="1067"/>
      <c r="AP124" s="1067"/>
      <c r="AQ124" s="1067"/>
      <c r="AR124" s="1067"/>
      <c r="AS124" s="1067"/>
      <c r="AU124" s="1082"/>
      <c r="AV124" s="1067"/>
      <c r="AW124" s="1067"/>
      <c r="AX124" s="1067"/>
      <c r="AY124" s="1067"/>
      <c r="AZ124" s="1067"/>
      <c r="BA124" s="1067"/>
      <c r="BB124" s="1067"/>
      <c r="BC124" s="1067"/>
      <c r="BD124" s="1067"/>
      <c r="BE124" s="1067"/>
      <c r="BF124" s="1067"/>
      <c r="BG124" s="1067"/>
      <c r="BH124" s="1067"/>
      <c r="BI124" s="1067"/>
      <c r="BJ124" s="1067"/>
      <c r="BK124" s="1067"/>
      <c r="BL124" s="1067"/>
      <c r="BM124" s="1067"/>
      <c r="BN124" s="1067"/>
      <c r="BO124" s="1067"/>
      <c r="BP124" s="1067"/>
      <c r="BQ124" s="1082"/>
      <c r="BR124" s="1067"/>
      <c r="BS124" s="1067"/>
      <c r="BT124" s="1067"/>
      <c r="BU124" s="1067"/>
      <c r="BV124" s="1067"/>
      <c r="BW124" s="1067"/>
      <c r="BX124" s="1067"/>
      <c r="BY124" s="1067"/>
      <c r="BZ124" s="1067"/>
      <c r="CA124" s="1067"/>
      <c r="CB124" s="1067"/>
      <c r="CC124" s="1067"/>
      <c r="CD124" s="1067"/>
      <c r="CE124" s="1067"/>
      <c r="CF124" s="1067"/>
      <c r="CG124" s="1067"/>
      <c r="CH124" s="1067"/>
      <c r="CI124" s="1067"/>
      <c r="CJ124" s="1067"/>
      <c r="CK124" s="1067"/>
      <c r="CL124" s="1067"/>
      <c r="CM124" s="1082"/>
      <c r="CN124" s="1067"/>
      <c r="CO124" s="1067"/>
      <c r="CP124" s="1067"/>
      <c r="CQ124" s="1067"/>
      <c r="CR124" s="1067"/>
      <c r="CS124" s="1067"/>
      <c r="CT124" s="1067"/>
      <c r="CU124" s="1067"/>
      <c r="CV124" s="1067"/>
      <c r="CW124" s="1067"/>
      <c r="CX124" s="1067"/>
      <c r="CY124" s="1067"/>
      <c r="CZ124" s="1067"/>
      <c r="DA124" s="1067"/>
      <c r="DB124" s="1067"/>
      <c r="DC124" s="1067"/>
      <c r="DD124" s="1067"/>
      <c r="DE124" s="1067"/>
      <c r="DF124" s="1067"/>
      <c r="DG124" s="1067"/>
      <c r="DH124" s="1067"/>
      <c r="DI124" s="1082"/>
      <c r="DJ124" s="1067"/>
      <c r="DK124" s="1067"/>
      <c r="DL124" s="1067"/>
      <c r="DM124" s="1067"/>
      <c r="DN124" s="1067"/>
      <c r="DO124" s="1067"/>
      <c r="DP124" s="1067"/>
      <c r="DQ124" s="1067"/>
      <c r="DR124" s="1067"/>
      <c r="DS124" s="1067"/>
      <c r="DT124" s="1067"/>
      <c r="DU124" s="1067"/>
      <c r="DV124" s="1067"/>
      <c r="DW124" s="1067"/>
      <c r="DX124" s="1067"/>
      <c r="DY124" s="1067"/>
      <c r="DZ124" s="1067"/>
      <c r="EA124" s="1067"/>
      <c r="EB124" s="1067"/>
      <c r="EC124" s="1067"/>
      <c r="ED124" s="1067"/>
    </row>
    <row r="125" spans="1:134" ht="33" hidden="1" customHeight="1" x14ac:dyDescent="0.25">
      <c r="A125" s="1559"/>
      <c r="B125" s="1019"/>
      <c r="C125" s="131" t="s">
        <v>4467</v>
      </c>
      <c r="D125" s="1019" t="s">
        <v>4638</v>
      </c>
      <c r="E125" s="1019">
        <v>301</v>
      </c>
      <c r="F125" s="1120" t="s">
        <v>4661</v>
      </c>
      <c r="G125" s="1400"/>
      <c r="H125" s="1061">
        <f t="shared" si="100"/>
        <v>10878966</v>
      </c>
      <c r="I125" s="1061">
        <f>Y125-H125</f>
        <v>4121034</v>
      </c>
      <c r="J125" s="1120" t="s">
        <v>4973</v>
      </c>
      <c r="K125" s="1115" t="s">
        <v>4974</v>
      </c>
      <c r="L125" s="1115" t="s">
        <v>4975</v>
      </c>
      <c r="M125" s="1115">
        <v>3</v>
      </c>
      <c r="N125" s="1115">
        <v>90</v>
      </c>
      <c r="O125" s="1115">
        <v>2</v>
      </c>
      <c r="P125" s="1115">
        <v>5</v>
      </c>
      <c r="Q125" s="1115">
        <v>163</v>
      </c>
      <c r="R125" s="1115">
        <v>8</v>
      </c>
      <c r="S125" s="1120"/>
      <c r="T125" s="1120"/>
      <c r="U125" s="1120"/>
      <c r="V125" s="1120"/>
      <c r="W125" s="1120"/>
      <c r="X125" s="1120"/>
      <c r="Y125" s="1008">
        <f t="shared" si="102"/>
        <v>15000000</v>
      </c>
      <c r="Z125" s="1008"/>
      <c r="AA125" s="1008"/>
      <c r="AB125" s="1008"/>
      <c r="AC125" s="1008"/>
      <c r="AD125" s="1008"/>
      <c r="AE125" s="1008"/>
      <c r="AF125" s="1008"/>
      <c r="AG125" s="1008"/>
      <c r="AH125" s="1008"/>
      <c r="AI125" s="1008"/>
      <c r="AJ125" s="1008"/>
      <c r="AK125" s="1008"/>
      <c r="AL125" s="1008"/>
      <c r="AM125" s="1008"/>
      <c r="AN125" s="1008"/>
      <c r="AO125" s="1008"/>
      <c r="AP125" s="1008">
        <v>15000000</v>
      </c>
      <c r="AQ125" s="1008"/>
      <c r="AR125" s="1008"/>
      <c r="AS125" s="1008"/>
      <c r="AU125" s="1011">
        <f t="shared" si="103"/>
        <v>0.72526440000000003</v>
      </c>
      <c r="AV125" s="1008">
        <f t="shared" si="104"/>
        <v>10878966</v>
      </c>
      <c r="AW125" s="1008"/>
      <c r="AX125" s="1008"/>
      <c r="AY125" s="1008"/>
      <c r="AZ125" s="1008"/>
      <c r="BA125" s="1008"/>
      <c r="BB125" s="1008"/>
      <c r="BC125" s="1008"/>
      <c r="BD125" s="1008"/>
      <c r="BE125" s="1008"/>
      <c r="BF125" s="1008"/>
      <c r="BG125" s="1008"/>
      <c r="BH125" s="1008"/>
      <c r="BI125" s="1008"/>
      <c r="BJ125" s="1008"/>
      <c r="BK125" s="1008"/>
      <c r="BL125" s="1008"/>
      <c r="BM125" s="1008">
        <f>+'[18]OCTUBRE 2015'!$Z$1404</f>
        <v>10878966</v>
      </c>
      <c r="BN125" s="1008"/>
      <c r="BO125" s="1008"/>
      <c r="BP125" s="1008"/>
      <c r="BQ125" s="1011">
        <f t="shared" si="105"/>
        <v>0.27473559999999997</v>
      </c>
      <c r="BR125" s="1008">
        <f t="shared" si="106"/>
        <v>4121034</v>
      </c>
      <c r="BS125" s="1008">
        <f t="shared" si="125"/>
        <v>0</v>
      </c>
      <c r="BT125" s="1008">
        <f t="shared" si="126"/>
        <v>0</v>
      </c>
      <c r="BU125" s="1008"/>
      <c r="BV125" s="1008">
        <f t="shared" si="127"/>
        <v>0</v>
      </c>
      <c r="BW125" s="1008"/>
      <c r="BX125" s="1008">
        <f t="shared" si="128"/>
        <v>0</v>
      </c>
      <c r="BY125" s="1008">
        <f t="shared" si="128"/>
        <v>0</v>
      </c>
      <c r="BZ125" s="1008"/>
      <c r="CA125" s="1008"/>
      <c r="CB125" s="1008"/>
      <c r="CC125" s="1008"/>
      <c r="CD125" s="1008">
        <f t="shared" si="129"/>
        <v>0</v>
      </c>
      <c r="CE125" s="1008">
        <f t="shared" si="129"/>
        <v>0</v>
      </c>
      <c r="CF125" s="1008">
        <f t="shared" si="129"/>
        <v>0</v>
      </c>
      <c r="CG125" s="1008">
        <f t="shared" si="129"/>
        <v>0</v>
      </c>
      <c r="CH125" s="1008">
        <f t="shared" si="111"/>
        <v>0</v>
      </c>
      <c r="CI125" s="1008">
        <f t="shared" si="111"/>
        <v>4121034</v>
      </c>
      <c r="CJ125" s="1008"/>
      <c r="CK125" s="1008"/>
      <c r="CL125" s="1008">
        <f t="shared" si="130"/>
        <v>0</v>
      </c>
      <c r="CM125" s="1011">
        <f t="shared" si="113"/>
        <v>0.72526440000000003</v>
      </c>
      <c r="CN125" s="1008">
        <f t="shared" si="114"/>
        <v>10878966</v>
      </c>
      <c r="CO125" s="1008"/>
      <c r="CP125" s="1008"/>
      <c r="CQ125" s="1008"/>
      <c r="CR125" s="1008"/>
      <c r="CS125" s="1008"/>
      <c r="CT125" s="1008"/>
      <c r="CU125" s="1008"/>
      <c r="CV125" s="1008"/>
      <c r="CW125" s="1008"/>
      <c r="CX125" s="1008"/>
      <c r="CY125" s="1008"/>
      <c r="CZ125" s="1008"/>
      <c r="DA125" s="1008"/>
      <c r="DB125" s="1008"/>
      <c r="DC125" s="1008"/>
      <c r="DD125" s="1008"/>
      <c r="DE125" s="1008">
        <f>+'[18]OCTUBRE 2015'!$H$1402</f>
        <v>10878966</v>
      </c>
      <c r="DF125" s="1008"/>
      <c r="DG125" s="1008"/>
      <c r="DH125" s="1008"/>
      <c r="DI125" s="1011">
        <f t="shared" si="115"/>
        <v>0.27473559999999997</v>
      </c>
      <c r="DJ125" s="1008">
        <f t="shared" si="116"/>
        <v>4121034</v>
      </c>
      <c r="DK125" s="1008">
        <f t="shared" si="131"/>
        <v>0</v>
      </c>
      <c r="DL125" s="1008"/>
      <c r="DM125" s="1008"/>
      <c r="DN125" s="1008">
        <f t="shared" si="132"/>
        <v>0</v>
      </c>
      <c r="DO125" s="1008"/>
      <c r="DP125" s="1008">
        <f t="shared" si="133"/>
        <v>0</v>
      </c>
      <c r="DQ125" s="1008">
        <f t="shared" si="133"/>
        <v>0</v>
      </c>
      <c r="DR125" s="1008"/>
      <c r="DS125" s="1008">
        <f t="shared" si="134"/>
        <v>0</v>
      </c>
      <c r="DT125" s="1008">
        <f t="shared" si="134"/>
        <v>0</v>
      </c>
      <c r="DU125" s="1008"/>
      <c r="DV125" s="1008">
        <f t="shared" si="135"/>
        <v>0</v>
      </c>
      <c r="DW125" s="1008">
        <f t="shared" si="135"/>
        <v>0</v>
      </c>
      <c r="DX125" s="1008">
        <f t="shared" si="135"/>
        <v>0</v>
      </c>
      <c r="DY125" s="1008">
        <f t="shared" si="136"/>
        <v>0</v>
      </c>
      <c r="DZ125" s="1008">
        <f t="shared" si="124"/>
        <v>0</v>
      </c>
      <c r="EA125" s="1008">
        <f t="shared" si="124"/>
        <v>4121034</v>
      </c>
      <c r="EB125" s="1008">
        <f t="shared" si="124"/>
        <v>0</v>
      </c>
      <c r="EC125" s="1008"/>
      <c r="ED125" s="1008">
        <f t="shared" si="137"/>
        <v>0</v>
      </c>
    </row>
    <row r="126" spans="1:134" ht="30.75" hidden="1" customHeight="1" x14ac:dyDescent="0.25">
      <c r="A126" s="1559"/>
      <c r="B126" s="989"/>
      <c r="C126" s="131" t="s">
        <v>4468</v>
      </c>
      <c r="D126" s="1019" t="s">
        <v>4639</v>
      </c>
      <c r="E126" s="989">
        <v>301</v>
      </c>
      <c r="F126" s="1120" t="s">
        <v>4661</v>
      </c>
      <c r="G126" s="1401"/>
      <c r="H126" s="1061">
        <f t="shared" si="100"/>
        <v>126292600</v>
      </c>
      <c r="I126" s="1061">
        <f>Y126-H126</f>
        <v>26507400</v>
      </c>
      <c r="J126" s="1120" t="s">
        <v>4922</v>
      </c>
      <c r="K126" s="1115" t="s">
        <v>4923</v>
      </c>
      <c r="L126" s="1115" t="s">
        <v>4924</v>
      </c>
      <c r="M126" s="1115">
        <v>2</v>
      </c>
      <c r="N126" s="1115">
        <v>0</v>
      </c>
      <c r="O126" s="1115">
        <v>0</v>
      </c>
      <c r="P126" s="1115">
        <v>39</v>
      </c>
      <c r="Q126" s="1115">
        <v>15</v>
      </c>
      <c r="R126" s="1115">
        <v>6</v>
      </c>
      <c r="S126" s="1120"/>
      <c r="T126" s="1120"/>
      <c r="U126" s="1120"/>
      <c r="V126" s="1120"/>
      <c r="W126" s="1120"/>
      <c r="X126" s="1120"/>
      <c r="Y126" s="1008">
        <f t="shared" si="102"/>
        <v>152800000</v>
      </c>
      <c r="Z126" s="1008"/>
      <c r="AA126" s="1008"/>
      <c r="AB126" s="1008"/>
      <c r="AC126" s="1008"/>
      <c r="AD126" s="1008"/>
      <c r="AE126" s="1008"/>
      <c r="AF126" s="1008"/>
      <c r="AG126" s="1008"/>
      <c r="AH126" s="1008"/>
      <c r="AI126" s="1008"/>
      <c r="AJ126" s="1008"/>
      <c r="AK126" s="1008"/>
      <c r="AL126" s="1008"/>
      <c r="AM126" s="1008"/>
      <c r="AN126" s="1008">
        <v>137800000</v>
      </c>
      <c r="AO126" s="1008"/>
      <c r="AP126" s="1008">
        <v>15000000</v>
      </c>
      <c r="AQ126" s="1008"/>
      <c r="AR126" s="1008"/>
      <c r="AS126" s="1008"/>
      <c r="AU126" s="1011">
        <f t="shared" si="103"/>
        <v>0.82652225130890056</v>
      </c>
      <c r="AV126" s="1008">
        <f t="shared" si="104"/>
        <v>126292600</v>
      </c>
      <c r="AW126" s="1008"/>
      <c r="AX126" s="1008"/>
      <c r="AY126" s="1008"/>
      <c r="AZ126" s="1008"/>
      <c r="BA126" s="1008"/>
      <c r="BB126" s="1008"/>
      <c r="BC126" s="1008"/>
      <c r="BD126" s="1008"/>
      <c r="BE126" s="1008"/>
      <c r="BF126" s="1008"/>
      <c r="BG126" s="1008"/>
      <c r="BH126" s="1008"/>
      <c r="BI126" s="1008"/>
      <c r="BJ126" s="1008"/>
      <c r="BK126" s="1008">
        <f>+'[18]OCTUBRE 2015'!$X$1421</f>
        <v>123715200</v>
      </c>
      <c r="BL126" s="1008"/>
      <c r="BM126" s="1008">
        <f>+'[18]OCTUBRE 2015'!$Z$1421</f>
        <v>2577400</v>
      </c>
      <c r="BN126" s="1008"/>
      <c r="BO126" s="1008"/>
      <c r="BP126" s="1008"/>
      <c r="BQ126" s="1011">
        <f t="shared" si="105"/>
        <v>0.17347774869109944</v>
      </c>
      <c r="BR126" s="1008">
        <f t="shared" si="106"/>
        <v>26507400</v>
      </c>
      <c r="BS126" s="1008">
        <f t="shared" si="125"/>
        <v>0</v>
      </c>
      <c r="BT126" s="1008">
        <f t="shared" si="126"/>
        <v>0</v>
      </c>
      <c r="BU126" s="1008"/>
      <c r="BV126" s="1008">
        <f t="shared" si="127"/>
        <v>0</v>
      </c>
      <c r="BW126" s="1008"/>
      <c r="BX126" s="1008">
        <f t="shared" si="128"/>
        <v>0</v>
      </c>
      <c r="BY126" s="1008">
        <f t="shared" si="128"/>
        <v>0</v>
      </c>
      <c r="BZ126" s="1008"/>
      <c r="CA126" s="1008"/>
      <c r="CB126" s="1008"/>
      <c r="CC126" s="1008"/>
      <c r="CD126" s="1008">
        <f t="shared" si="129"/>
        <v>0</v>
      </c>
      <c r="CE126" s="1008">
        <f t="shared" si="129"/>
        <v>0</v>
      </c>
      <c r="CF126" s="1008">
        <f t="shared" si="129"/>
        <v>0</v>
      </c>
      <c r="CG126" s="1008">
        <f t="shared" si="129"/>
        <v>14084800</v>
      </c>
      <c r="CH126" s="1008">
        <f t="shared" si="111"/>
        <v>0</v>
      </c>
      <c r="CI126" s="1008">
        <f t="shared" si="111"/>
        <v>12422600</v>
      </c>
      <c r="CJ126" s="1008"/>
      <c r="CK126" s="1008"/>
      <c r="CL126" s="1008">
        <f t="shared" si="130"/>
        <v>0</v>
      </c>
      <c r="CM126" s="1011">
        <f t="shared" si="113"/>
        <v>0.82652225130890056</v>
      </c>
      <c r="CN126" s="1008">
        <f t="shared" si="114"/>
        <v>126292600</v>
      </c>
      <c r="CO126" s="1008"/>
      <c r="CP126" s="1008"/>
      <c r="CQ126" s="1008"/>
      <c r="CR126" s="1008"/>
      <c r="CS126" s="1008"/>
      <c r="CT126" s="1008"/>
      <c r="CU126" s="1008"/>
      <c r="CV126" s="1008"/>
      <c r="CW126" s="1008"/>
      <c r="CX126" s="1008"/>
      <c r="CY126" s="1008"/>
      <c r="CZ126" s="1008"/>
      <c r="DA126" s="1008"/>
      <c r="DB126" s="1008"/>
      <c r="DC126" s="1008">
        <f>+'[18]OCTUBRE 2015'!$X$1421</f>
        <v>123715200</v>
      </c>
      <c r="DD126" s="1008"/>
      <c r="DE126" s="1008">
        <f>+'[12]MAYO 2015'!$H$689</f>
        <v>2577400</v>
      </c>
      <c r="DF126" s="1008"/>
      <c r="DG126" s="1008"/>
      <c r="DH126" s="1008"/>
      <c r="DI126" s="1011">
        <f t="shared" si="115"/>
        <v>0.17347774869109944</v>
      </c>
      <c r="DJ126" s="1008">
        <f t="shared" si="116"/>
        <v>26507400</v>
      </c>
      <c r="DK126" s="1008">
        <f t="shared" si="131"/>
        <v>0</v>
      </c>
      <c r="DL126" s="1008"/>
      <c r="DM126" s="1008"/>
      <c r="DN126" s="1008">
        <f t="shared" si="132"/>
        <v>0</v>
      </c>
      <c r="DO126" s="1008"/>
      <c r="DP126" s="1008">
        <f t="shared" si="133"/>
        <v>0</v>
      </c>
      <c r="DQ126" s="1008">
        <f t="shared" si="133"/>
        <v>0</v>
      </c>
      <c r="DR126" s="1008"/>
      <c r="DS126" s="1008">
        <f t="shared" si="134"/>
        <v>0</v>
      </c>
      <c r="DT126" s="1008">
        <f t="shared" si="134"/>
        <v>0</v>
      </c>
      <c r="DU126" s="1008"/>
      <c r="DV126" s="1008">
        <f t="shared" si="135"/>
        <v>0</v>
      </c>
      <c r="DW126" s="1008">
        <f t="shared" si="135"/>
        <v>0</v>
      </c>
      <c r="DX126" s="1008">
        <f t="shared" si="135"/>
        <v>0</v>
      </c>
      <c r="DY126" s="1008">
        <f t="shared" si="136"/>
        <v>14084800</v>
      </c>
      <c r="DZ126" s="1008">
        <f t="shared" si="124"/>
        <v>0</v>
      </c>
      <c r="EA126" s="1008">
        <f t="shared" si="124"/>
        <v>12422600</v>
      </c>
      <c r="EB126" s="1008">
        <f t="shared" si="124"/>
        <v>0</v>
      </c>
      <c r="EC126" s="1008"/>
      <c r="ED126" s="1008">
        <f t="shared" si="137"/>
        <v>0</v>
      </c>
    </row>
    <row r="127" spans="1:134" ht="26.25" hidden="1" customHeight="1" x14ac:dyDescent="0.25">
      <c r="A127" s="1559"/>
      <c r="B127" s="989" t="s">
        <v>4446</v>
      </c>
      <c r="C127" s="131" t="s">
        <v>4690</v>
      </c>
      <c r="D127" s="1019" t="s">
        <v>4640</v>
      </c>
      <c r="E127" s="989">
        <v>301</v>
      </c>
      <c r="F127" s="1120" t="s">
        <v>4661</v>
      </c>
      <c r="G127" s="1120">
        <v>50000000</v>
      </c>
      <c r="H127" s="1061">
        <f t="shared" si="100"/>
        <v>45969645</v>
      </c>
      <c r="I127" s="1061">
        <f>Y127-H127</f>
        <v>4030355</v>
      </c>
      <c r="J127" s="1120" t="s">
        <v>4925</v>
      </c>
      <c r="K127" s="1115" t="s">
        <v>4926</v>
      </c>
      <c r="L127" s="1115" t="s">
        <v>4927</v>
      </c>
      <c r="M127" s="1115">
        <v>60</v>
      </c>
      <c r="N127" s="1115">
        <v>0</v>
      </c>
      <c r="O127" s="1115">
        <v>0</v>
      </c>
      <c r="P127" s="1115">
        <v>64</v>
      </c>
      <c r="Q127" s="1115">
        <v>36</v>
      </c>
      <c r="R127" s="1115">
        <v>23</v>
      </c>
      <c r="S127" s="1120"/>
      <c r="T127" s="1120"/>
      <c r="U127" s="1120"/>
      <c r="V127" s="1120"/>
      <c r="W127" s="1120"/>
      <c r="X127" s="1120"/>
      <c r="Y127" s="1008">
        <f t="shared" si="102"/>
        <v>50000000</v>
      </c>
      <c r="Z127" s="1008"/>
      <c r="AA127" s="1008"/>
      <c r="AB127" s="1008"/>
      <c r="AC127" s="1008"/>
      <c r="AD127" s="1008"/>
      <c r="AE127" s="1008"/>
      <c r="AF127" s="1008"/>
      <c r="AG127" s="1008"/>
      <c r="AH127" s="1008"/>
      <c r="AI127" s="1008"/>
      <c r="AJ127" s="1008"/>
      <c r="AK127" s="1008"/>
      <c r="AL127" s="1008"/>
      <c r="AM127" s="1008">
        <v>50000000</v>
      </c>
      <c r="AN127" s="1008"/>
      <c r="AO127" s="1008"/>
      <c r="AP127" s="1008"/>
      <c r="AQ127" s="1008"/>
      <c r="AR127" s="1008"/>
      <c r="AS127" s="1008"/>
      <c r="AU127" s="1011">
        <f t="shared" si="103"/>
        <v>1</v>
      </c>
      <c r="AV127" s="1008">
        <f t="shared" si="104"/>
        <v>50000000</v>
      </c>
      <c r="AW127" s="1008"/>
      <c r="AX127" s="1008"/>
      <c r="AY127" s="1008"/>
      <c r="AZ127" s="1008"/>
      <c r="BA127" s="1008"/>
      <c r="BB127" s="1008"/>
      <c r="BC127" s="1008"/>
      <c r="BD127" s="1008"/>
      <c r="BE127" s="1008"/>
      <c r="BF127" s="1008"/>
      <c r="BG127" s="1008"/>
      <c r="BH127" s="1008"/>
      <c r="BI127" s="1008"/>
      <c r="BJ127" s="1008">
        <f>+'[7]ENERO 2015'!$T$374</f>
        <v>50000000</v>
      </c>
      <c r="BK127" s="1008"/>
      <c r="BL127" s="1008"/>
      <c r="BM127" s="1008"/>
      <c r="BN127" s="1008"/>
      <c r="BO127" s="1008"/>
      <c r="BP127" s="1008"/>
      <c r="BQ127" s="1011">
        <f t="shared" si="105"/>
        <v>0</v>
      </c>
      <c r="BR127" s="1008">
        <f t="shared" si="106"/>
        <v>0</v>
      </c>
      <c r="BS127" s="1008">
        <f t="shared" si="125"/>
        <v>0</v>
      </c>
      <c r="BT127" s="1008">
        <f t="shared" si="126"/>
        <v>0</v>
      </c>
      <c r="BU127" s="1008"/>
      <c r="BV127" s="1008">
        <f t="shared" si="127"/>
        <v>0</v>
      </c>
      <c r="BW127" s="1008"/>
      <c r="BX127" s="1008">
        <f t="shared" si="128"/>
        <v>0</v>
      </c>
      <c r="BY127" s="1008">
        <f t="shared" si="128"/>
        <v>0</v>
      </c>
      <c r="BZ127" s="1008"/>
      <c r="CA127" s="1008"/>
      <c r="CB127" s="1008"/>
      <c r="CC127" s="1008"/>
      <c r="CD127" s="1008">
        <f t="shared" si="129"/>
        <v>0</v>
      </c>
      <c r="CE127" s="1008">
        <f t="shared" si="129"/>
        <v>0</v>
      </c>
      <c r="CF127" s="1008">
        <f t="shared" si="129"/>
        <v>0</v>
      </c>
      <c r="CG127" s="1008">
        <f t="shared" si="129"/>
        <v>0</v>
      </c>
      <c r="CH127" s="1008">
        <f t="shared" si="111"/>
        <v>0</v>
      </c>
      <c r="CI127" s="1008">
        <f t="shared" si="111"/>
        <v>0</v>
      </c>
      <c r="CJ127" s="1008"/>
      <c r="CK127" s="1008"/>
      <c r="CL127" s="1008">
        <f t="shared" si="130"/>
        <v>0</v>
      </c>
      <c r="CM127" s="1011">
        <f t="shared" si="113"/>
        <v>0.91939289999999996</v>
      </c>
      <c r="CN127" s="1008">
        <f t="shared" si="114"/>
        <v>45969645</v>
      </c>
      <c r="CO127" s="1008"/>
      <c r="CP127" s="1008"/>
      <c r="CQ127" s="1008"/>
      <c r="CR127" s="1008"/>
      <c r="CS127" s="1008"/>
      <c r="CT127" s="1008"/>
      <c r="CU127" s="1008"/>
      <c r="CV127" s="1008"/>
      <c r="CW127" s="1008"/>
      <c r="CX127" s="1008"/>
      <c r="CY127" s="1008"/>
      <c r="CZ127" s="1008"/>
      <c r="DA127" s="1008"/>
      <c r="DB127" s="1008">
        <f>+'[18]OCTUBRE 2015'!$H$1468</f>
        <v>45969645</v>
      </c>
      <c r="DC127" s="1008"/>
      <c r="DD127" s="1008"/>
      <c r="DE127" s="1008"/>
      <c r="DF127" s="1008"/>
      <c r="DG127" s="1008"/>
      <c r="DH127" s="1008"/>
      <c r="DI127" s="1011">
        <f t="shared" si="115"/>
        <v>8.0607100000000043E-2</v>
      </c>
      <c r="DJ127" s="1008">
        <f t="shared" si="116"/>
        <v>4030355</v>
      </c>
      <c r="DK127" s="1008">
        <f t="shared" si="131"/>
        <v>0</v>
      </c>
      <c r="DL127" s="1008"/>
      <c r="DM127" s="1008"/>
      <c r="DN127" s="1008">
        <f t="shared" si="132"/>
        <v>0</v>
      </c>
      <c r="DO127" s="1008"/>
      <c r="DP127" s="1008">
        <f t="shared" si="133"/>
        <v>0</v>
      </c>
      <c r="DQ127" s="1008">
        <f t="shared" si="133"/>
        <v>0</v>
      </c>
      <c r="DR127" s="1008"/>
      <c r="DS127" s="1008">
        <f t="shared" si="134"/>
        <v>0</v>
      </c>
      <c r="DT127" s="1008">
        <f t="shared" si="134"/>
        <v>0</v>
      </c>
      <c r="DU127" s="1008"/>
      <c r="DV127" s="1008">
        <f t="shared" si="135"/>
        <v>0</v>
      </c>
      <c r="DW127" s="1008">
        <f t="shared" si="135"/>
        <v>0</v>
      </c>
      <c r="DX127" s="1008">
        <f t="shared" si="135"/>
        <v>4030355</v>
      </c>
      <c r="DY127" s="1008">
        <f t="shared" si="136"/>
        <v>0</v>
      </c>
      <c r="DZ127" s="1008">
        <f t="shared" si="124"/>
        <v>0</v>
      </c>
      <c r="EA127" s="1008">
        <f t="shared" si="124"/>
        <v>0</v>
      </c>
      <c r="EB127" s="1008">
        <f t="shared" si="124"/>
        <v>0</v>
      </c>
      <c r="EC127" s="1008"/>
      <c r="ED127" s="1008">
        <f t="shared" si="137"/>
        <v>0</v>
      </c>
    </row>
    <row r="128" spans="1:134" s="948" customFormat="1" ht="24" customHeight="1" thickTop="1" thickBot="1" x14ac:dyDescent="0.3">
      <c r="A128" s="1057"/>
      <c r="B128" s="1622" t="s">
        <v>4991</v>
      </c>
      <c r="C128" s="1623"/>
      <c r="D128" s="1623"/>
      <c r="E128" s="1624"/>
      <c r="F128" s="1129"/>
      <c r="G128" s="1009">
        <f>SUM(G105:G127)</f>
        <v>1952000000</v>
      </c>
      <c r="H128" s="1009">
        <f>SUM(H105:H127)</f>
        <v>2270218833</v>
      </c>
      <c r="I128" s="1009">
        <f>SUM(I105:I127)</f>
        <v>285017967</v>
      </c>
      <c r="J128" s="1128"/>
      <c r="K128" s="1128"/>
      <c r="L128" s="1128"/>
      <c r="M128" s="1128"/>
      <c r="N128" s="1128"/>
      <c r="O128" s="1128"/>
      <c r="P128" s="1128"/>
      <c r="Q128" s="1128"/>
      <c r="R128" s="1128"/>
      <c r="S128" s="1128"/>
      <c r="T128" s="1128"/>
      <c r="U128" s="1128"/>
      <c r="V128" s="1128"/>
      <c r="W128" s="1128"/>
      <c r="X128" s="1128"/>
      <c r="Y128" s="1009">
        <f t="shared" ref="Y128:AS128" si="138">SUM(Y105:Y127)</f>
        <v>2555236800</v>
      </c>
      <c r="Z128" s="1009">
        <f t="shared" si="138"/>
        <v>104079469</v>
      </c>
      <c r="AA128" s="1009">
        <f t="shared" si="138"/>
        <v>0</v>
      </c>
      <c r="AB128" s="1009">
        <f t="shared" si="138"/>
        <v>0</v>
      </c>
      <c r="AC128" s="1009">
        <f t="shared" si="138"/>
        <v>0</v>
      </c>
      <c r="AD128" s="1009">
        <f t="shared" si="138"/>
        <v>0</v>
      </c>
      <c r="AE128" s="1009">
        <f t="shared" si="138"/>
        <v>0</v>
      </c>
      <c r="AF128" s="1009">
        <f t="shared" si="138"/>
        <v>0</v>
      </c>
      <c r="AG128" s="1009">
        <f t="shared" si="138"/>
        <v>0</v>
      </c>
      <c r="AH128" s="1009">
        <f t="shared" si="138"/>
        <v>0</v>
      </c>
      <c r="AI128" s="1009">
        <f t="shared" si="138"/>
        <v>0</v>
      </c>
      <c r="AJ128" s="1009">
        <f t="shared" si="138"/>
        <v>0</v>
      </c>
      <c r="AK128" s="1009">
        <f t="shared" si="138"/>
        <v>0</v>
      </c>
      <c r="AL128" s="1009">
        <f t="shared" si="138"/>
        <v>0</v>
      </c>
      <c r="AM128" s="1009">
        <f t="shared" si="138"/>
        <v>728406867</v>
      </c>
      <c r="AN128" s="1009">
        <f t="shared" si="138"/>
        <v>346819196</v>
      </c>
      <c r="AO128" s="1009">
        <f t="shared" si="138"/>
        <v>120323279</v>
      </c>
      <c r="AP128" s="1009">
        <f t="shared" si="138"/>
        <v>1181607989</v>
      </c>
      <c r="AQ128" s="1009">
        <f t="shared" si="138"/>
        <v>0</v>
      </c>
      <c r="AR128" s="1009">
        <f t="shared" si="138"/>
        <v>0</v>
      </c>
      <c r="AS128" s="1009">
        <f t="shared" si="138"/>
        <v>74000000</v>
      </c>
      <c r="AU128" s="1012">
        <f t="shared" si="103"/>
        <v>0.95536877443217783</v>
      </c>
      <c r="AV128" s="1009">
        <f>SUM(AV105:AV127)</f>
        <v>2441193450</v>
      </c>
      <c r="AW128" s="1009">
        <f>SUM(AW105:AW127)</f>
        <v>103245422</v>
      </c>
      <c r="AX128" s="1009">
        <f>SUM(AX105:AX127)</f>
        <v>0</v>
      </c>
      <c r="AY128" s="1009"/>
      <c r="AZ128" s="1009">
        <f>SUM(AZ105:AZ127)</f>
        <v>0</v>
      </c>
      <c r="BA128" s="1009"/>
      <c r="BB128" s="1009">
        <f t="shared" ref="BB128:BP128" si="139">SUM(BB105:BB127)</f>
        <v>0</v>
      </c>
      <c r="BC128" s="1009">
        <f t="shared" si="139"/>
        <v>0</v>
      </c>
      <c r="BD128" s="1009">
        <f t="shared" si="139"/>
        <v>0</v>
      </c>
      <c r="BE128" s="1009">
        <f t="shared" si="139"/>
        <v>0</v>
      </c>
      <c r="BF128" s="1009">
        <f t="shared" si="139"/>
        <v>0</v>
      </c>
      <c r="BG128" s="1009">
        <f t="shared" si="139"/>
        <v>0</v>
      </c>
      <c r="BH128" s="1009">
        <f t="shared" si="139"/>
        <v>0</v>
      </c>
      <c r="BI128" s="1009">
        <f t="shared" si="139"/>
        <v>0</v>
      </c>
      <c r="BJ128" s="1009">
        <f t="shared" si="139"/>
        <v>709199167</v>
      </c>
      <c r="BK128" s="1009">
        <f t="shared" si="139"/>
        <v>332734396</v>
      </c>
      <c r="BL128" s="1009">
        <f t="shared" si="139"/>
        <v>90750110</v>
      </c>
      <c r="BM128" s="1009">
        <f t="shared" si="139"/>
        <v>1141064355</v>
      </c>
      <c r="BN128" s="1009">
        <f t="shared" si="139"/>
        <v>0</v>
      </c>
      <c r="BO128" s="1009">
        <f t="shared" si="139"/>
        <v>0</v>
      </c>
      <c r="BP128" s="1009">
        <f t="shared" si="139"/>
        <v>64200000</v>
      </c>
      <c r="BQ128" s="1012">
        <f t="shared" si="105"/>
        <v>4.4631225567822175E-2</v>
      </c>
      <c r="BR128" s="1009">
        <f>SUM(BR105:BR127)</f>
        <v>114043350</v>
      </c>
      <c r="BS128" s="1009">
        <f>SUM(BS105:BS127)</f>
        <v>834047</v>
      </c>
      <c r="BT128" s="1009">
        <f>SUM(BT105:BT127)</f>
        <v>0</v>
      </c>
      <c r="BU128" s="1009"/>
      <c r="BV128" s="1009">
        <f t="shared" ref="BV128:CL128" si="140">SUM(BV105:BV127)</f>
        <v>0</v>
      </c>
      <c r="BW128" s="1009">
        <f t="shared" si="140"/>
        <v>0</v>
      </c>
      <c r="BX128" s="1009">
        <f t="shared" si="140"/>
        <v>0</v>
      </c>
      <c r="BY128" s="1009">
        <f t="shared" si="140"/>
        <v>0</v>
      </c>
      <c r="BZ128" s="1009">
        <f t="shared" si="140"/>
        <v>0</v>
      </c>
      <c r="CA128" s="1009">
        <f t="shared" si="140"/>
        <v>0</v>
      </c>
      <c r="CB128" s="1009">
        <f t="shared" si="140"/>
        <v>0</v>
      </c>
      <c r="CC128" s="1009">
        <f t="shared" si="140"/>
        <v>0</v>
      </c>
      <c r="CD128" s="1009">
        <f t="shared" si="140"/>
        <v>0</v>
      </c>
      <c r="CE128" s="1009">
        <f t="shared" si="140"/>
        <v>0</v>
      </c>
      <c r="CF128" s="1009">
        <f t="shared" si="140"/>
        <v>19207700</v>
      </c>
      <c r="CG128" s="1009">
        <f t="shared" si="140"/>
        <v>14084800</v>
      </c>
      <c r="CH128" s="1009">
        <f t="shared" si="140"/>
        <v>29573169</v>
      </c>
      <c r="CI128" s="1009">
        <f t="shared" si="140"/>
        <v>40543634</v>
      </c>
      <c r="CJ128" s="1009">
        <f t="shared" si="140"/>
        <v>0</v>
      </c>
      <c r="CK128" s="1009">
        <f t="shared" si="140"/>
        <v>0</v>
      </c>
      <c r="CL128" s="1009">
        <f t="shared" si="140"/>
        <v>9800000</v>
      </c>
      <c r="CM128" s="1012">
        <f t="shared" si="113"/>
        <v>0.88845731753706736</v>
      </c>
      <c r="CN128" s="1009">
        <f>SUM(CN105:CN127)</f>
        <v>2270218833</v>
      </c>
      <c r="CO128" s="1009">
        <f>SUM(CO105:CO127)</f>
        <v>94013966</v>
      </c>
      <c r="CP128" s="1009">
        <f>SUM(CP105:CP127)</f>
        <v>0</v>
      </c>
      <c r="CQ128" s="1009"/>
      <c r="CR128" s="1009">
        <f>SUM(CR105:CR127)</f>
        <v>0</v>
      </c>
      <c r="CS128" s="1009"/>
      <c r="CT128" s="1009">
        <f>SUM(CT105:CT127)</f>
        <v>0</v>
      </c>
      <c r="CU128" s="1009">
        <f>SUM(CU105:CU127)</f>
        <v>0</v>
      </c>
      <c r="CV128" s="1009"/>
      <c r="CW128" s="1009">
        <f t="shared" ref="CW128:DH128" si="141">SUM(CW105:CW127)</f>
        <v>0</v>
      </c>
      <c r="CX128" s="1009">
        <f t="shared" si="141"/>
        <v>0</v>
      </c>
      <c r="CY128" s="1009">
        <f t="shared" si="141"/>
        <v>0</v>
      </c>
      <c r="CZ128" s="1009">
        <f t="shared" si="141"/>
        <v>0</v>
      </c>
      <c r="DA128" s="1009">
        <f t="shared" si="141"/>
        <v>0</v>
      </c>
      <c r="DB128" s="1009">
        <f t="shared" si="141"/>
        <v>670072305</v>
      </c>
      <c r="DC128" s="1009">
        <f t="shared" si="141"/>
        <v>332531008</v>
      </c>
      <c r="DD128" s="1009">
        <f t="shared" si="141"/>
        <v>56390498</v>
      </c>
      <c r="DE128" s="1009">
        <f t="shared" si="141"/>
        <v>1082996639</v>
      </c>
      <c r="DF128" s="1009">
        <f t="shared" si="141"/>
        <v>0</v>
      </c>
      <c r="DG128" s="1009">
        <f t="shared" si="141"/>
        <v>0</v>
      </c>
      <c r="DH128" s="1009">
        <f t="shared" si="141"/>
        <v>34214417</v>
      </c>
      <c r="DI128" s="1012">
        <f t="shared" si="115"/>
        <v>0.11154268246293264</v>
      </c>
      <c r="DJ128" s="1009">
        <f>SUM(DJ105:DJ127)</f>
        <v>285017967</v>
      </c>
      <c r="DK128" s="1009">
        <f>SUM(DK105:DK127)</f>
        <v>10065503</v>
      </c>
      <c r="DL128" s="1009">
        <f>SUM(DL105:DL127)</f>
        <v>0</v>
      </c>
      <c r="DM128" s="1009"/>
      <c r="DN128" s="1009">
        <f t="shared" ref="DN128:ED128" si="142">SUM(DN105:DN127)</f>
        <v>0</v>
      </c>
      <c r="DO128" s="1009">
        <f t="shared" si="142"/>
        <v>0</v>
      </c>
      <c r="DP128" s="1009">
        <f t="shared" si="142"/>
        <v>0</v>
      </c>
      <c r="DQ128" s="1009">
        <f t="shared" si="142"/>
        <v>0</v>
      </c>
      <c r="DR128" s="1009">
        <f t="shared" si="142"/>
        <v>0</v>
      </c>
      <c r="DS128" s="1009">
        <f t="shared" si="142"/>
        <v>0</v>
      </c>
      <c r="DT128" s="1009">
        <f t="shared" si="142"/>
        <v>0</v>
      </c>
      <c r="DU128" s="1009">
        <f t="shared" si="142"/>
        <v>0</v>
      </c>
      <c r="DV128" s="1009">
        <f t="shared" si="142"/>
        <v>0</v>
      </c>
      <c r="DW128" s="1009">
        <f t="shared" si="142"/>
        <v>0</v>
      </c>
      <c r="DX128" s="1009">
        <f t="shared" si="142"/>
        <v>58334562</v>
      </c>
      <c r="DY128" s="1009">
        <f t="shared" si="142"/>
        <v>14288188</v>
      </c>
      <c r="DZ128" s="1009">
        <f t="shared" si="142"/>
        <v>63932781</v>
      </c>
      <c r="EA128" s="1009">
        <f t="shared" si="142"/>
        <v>98611350</v>
      </c>
      <c r="EB128" s="1009">
        <f t="shared" si="142"/>
        <v>0</v>
      </c>
      <c r="EC128" s="1009">
        <f t="shared" si="142"/>
        <v>0</v>
      </c>
      <c r="ED128" s="1038">
        <f t="shared" si="142"/>
        <v>39785583</v>
      </c>
    </row>
    <row r="129" spans="1:136" ht="78" hidden="1" customHeight="1" thickTop="1" x14ac:dyDescent="0.25">
      <c r="A129" s="1560" t="s">
        <v>4757</v>
      </c>
      <c r="B129" s="990" t="s">
        <v>4448</v>
      </c>
      <c r="C129" s="131" t="s">
        <v>4653</v>
      </c>
      <c r="D129" s="1019" t="s">
        <v>4644</v>
      </c>
      <c r="E129" s="994">
        <v>510</v>
      </c>
      <c r="F129" s="1120" t="s">
        <v>4548</v>
      </c>
      <c r="G129" s="1563">
        <v>10000000</v>
      </c>
      <c r="H129" s="1061">
        <f t="shared" ref="H129:H192" si="143">+CN129</f>
        <v>3000000</v>
      </c>
      <c r="I129" s="1061">
        <f t="shared" ref="I129:I192" si="144">Y129-H129</f>
        <v>0</v>
      </c>
      <c r="J129" s="1069">
        <v>0.3</v>
      </c>
      <c r="K129" s="1135">
        <v>1</v>
      </c>
      <c r="L129" s="1135">
        <v>0.37</v>
      </c>
      <c r="M129" s="1078">
        <v>100</v>
      </c>
      <c r="N129" s="1078">
        <v>30</v>
      </c>
      <c r="O129" s="1078">
        <v>30</v>
      </c>
      <c r="P129" s="1115">
        <v>100</v>
      </c>
      <c r="Q129" s="1115">
        <v>45</v>
      </c>
      <c r="R129" s="1115">
        <v>45</v>
      </c>
      <c r="S129" s="1120"/>
      <c r="T129" s="1120"/>
      <c r="U129" s="1120"/>
      <c r="V129" s="1120"/>
      <c r="W129" s="1120"/>
      <c r="X129" s="1120"/>
      <c r="Y129" s="1008">
        <f t="shared" ref="Y129:Y160" si="145">SUM(Z129:AS129)</f>
        <v>3000000</v>
      </c>
      <c r="Z129" s="1008"/>
      <c r="AA129" s="1008"/>
      <c r="AB129" s="1008"/>
      <c r="AC129" s="1008"/>
      <c r="AD129" s="1008"/>
      <c r="AE129" s="1008">
        <v>3000000</v>
      </c>
      <c r="AF129" s="1008"/>
      <c r="AG129" s="1008"/>
      <c r="AH129" s="1008"/>
      <c r="AI129" s="1008"/>
      <c r="AJ129" s="1008"/>
      <c r="AK129" s="1008"/>
      <c r="AL129" s="1008"/>
      <c r="AM129" s="1008"/>
      <c r="AN129" s="1008"/>
      <c r="AO129" s="1008"/>
      <c r="AP129" s="1008"/>
      <c r="AQ129" s="1008"/>
      <c r="AR129" s="1008"/>
      <c r="AS129" s="1008"/>
      <c r="AU129" s="1011">
        <f t="shared" si="103"/>
        <v>1</v>
      </c>
      <c r="AV129" s="1008">
        <f t="shared" ref="AV129:AV160" si="146">SUM(AW129:BP129)</f>
        <v>3000000</v>
      </c>
      <c r="AW129" s="1008"/>
      <c r="AX129" s="1008"/>
      <c r="AY129" s="1008"/>
      <c r="AZ129" s="1008"/>
      <c r="BA129" s="1008"/>
      <c r="BB129" s="1008">
        <f>+'[10]MARZO 2015'!$N$1116</f>
        <v>3000000</v>
      </c>
      <c r="BC129" s="1008"/>
      <c r="BD129" s="1008"/>
      <c r="BE129" s="1008"/>
      <c r="BF129" s="1008"/>
      <c r="BG129" s="1008"/>
      <c r="BH129" s="1008"/>
      <c r="BI129" s="1008"/>
      <c r="BJ129" s="1008"/>
      <c r="BK129" s="1008"/>
      <c r="BL129" s="1008"/>
      <c r="BM129" s="1008"/>
      <c r="BN129" s="1008"/>
      <c r="BO129" s="1008"/>
      <c r="BP129" s="1008"/>
      <c r="BQ129" s="1011">
        <f t="shared" si="105"/>
        <v>0</v>
      </c>
      <c r="BR129" s="1008">
        <f t="shared" ref="BR129:BR160" si="147">SUM(BS129:CL129)</f>
        <v>0</v>
      </c>
      <c r="BS129" s="1008">
        <f t="shared" ref="BS129:BS149" si="148">+Z129-AW129</f>
        <v>0</v>
      </c>
      <c r="BT129" s="1008">
        <f t="shared" ref="BT129:BT149" si="149">AA129-AX129</f>
        <v>0</v>
      </c>
      <c r="BU129" s="1008"/>
      <c r="BV129" s="1008">
        <f t="shared" ref="BV129:BW149" si="150">AC129-AZ129</f>
        <v>0</v>
      </c>
      <c r="BW129" s="1008">
        <f t="shared" si="150"/>
        <v>0</v>
      </c>
      <c r="BX129" s="1008">
        <f t="shared" ref="BX129:BY149" si="151">+AE129-BB129</f>
        <v>0</v>
      </c>
      <c r="BY129" s="1008">
        <f t="shared" si="151"/>
        <v>0</v>
      </c>
      <c r="BZ129" s="1008"/>
      <c r="CA129" s="1008">
        <f t="shared" ref="CA129:CI149" si="152">+AH129-BE129</f>
        <v>0</v>
      </c>
      <c r="CB129" s="1008">
        <f t="shared" si="152"/>
        <v>0</v>
      </c>
      <c r="CC129" s="1008">
        <f t="shared" si="152"/>
        <v>0</v>
      </c>
      <c r="CD129" s="1008">
        <f t="shared" si="152"/>
        <v>0</v>
      </c>
      <c r="CE129" s="1008">
        <f t="shared" si="152"/>
        <v>0</v>
      </c>
      <c r="CF129" s="1008">
        <f t="shared" si="152"/>
        <v>0</v>
      </c>
      <c r="CG129" s="1008">
        <f t="shared" si="152"/>
        <v>0</v>
      </c>
      <c r="CH129" s="1008">
        <f t="shared" si="152"/>
        <v>0</v>
      </c>
      <c r="CI129" s="1008">
        <f t="shared" si="152"/>
        <v>0</v>
      </c>
      <c r="CJ129" s="1008"/>
      <c r="CK129" s="1008"/>
      <c r="CL129" s="1008">
        <f t="shared" ref="CL129:CL149" si="153">+AS129-BP129</f>
        <v>0</v>
      </c>
      <c r="CM129" s="1011">
        <f t="shared" si="113"/>
        <v>1</v>
      </c>
      <c r="CN129" s="1008">
        <f t="shared" ref="CN129:CN160" si="154">SUM(CO129:DH129)</f>
        <v>3000000</v>
      </c>
      <c r="CO129" s="1008"/>
      <c r="CP129" s="1008"/>
      <c r="CQ129" s="1008"/>
      <c r="CR129" s="1008"/>
      <c r="CS129" s="1008"/>
      <c r="CT129" s="1008">
        <f>+'[10]MARZO 2015'!$H$1117</f>
        <v>3000000</v>
      </c>
      <c r="CU129" s="1008"/>
      <c r="CV129" s="1008"/>
      <c r="CW129" s="1008"/>
      <c r="CX129" s="1008"/>
      <c r="CY129" s="1008"/>
      <c r="CZ129" s="1008"/>
      <c r="DA129" s="1008"/>
      <c r="DB129" s="1008"/>
      <c r="DC129" s="1008"/>
      <c r="DD129" s="1008"/>
      <c r="DE129" s="1008"/>
      <c r="DF129" s="1008"/>
      <c r="DG129" s="1008"/>
      <c r="DH129" s="1008"/>
      <c r="DI129" s="1011">
        <f t="shared" si="115"/>
        <v>0</v>
      </c>
      <c r="DJ129" s="1008">
        <f t="shared" ref="DJ129:DJ160" si="155">SUM(DK129:ED129)</f>
        <v>0</v>
      </c>
      <c r="DK129" s="1008"/>
      <c r="DL129" s="1008"/>
      <c r="DM129" s="1008"/>
      <c r="DN129" s="1008">
        <f t="shared" ref="DN129:DQ149" si="156">AC129-CR129</f>
        <v>0</v>
      </c>
      <c r="DO129" s="1008">
        <f t="shared" si="156"/>
        <v>0</v>
      </c>
      <c r="DP129" s="1008">
        <f t="shared" si="156"/>
        <v>0</v>
      </c>
      <c r="DQ129" s="1008">
        <f t="shared" si="156"/>
        <v>0</v>
      </c>
      <c r="DR129" s="1008"/>
      <c r="DS129" s="1008">
        <f t="shared" ref="DS129:DT149" si="157">+AH129-CW129</f>
        <v>0</v>
      </c>
      <c r="DT129" s="1008">
        <f t="shared" si="157"/>
        <v>0</v>
      </c>
      <c r="DU129" s="1008"/>
      <c r="DV129" s="1008">
        <f t="shared" ref="DV129:DX149" si="158">AK129-CZ129</f>
        <v>0</v>
      </c>
      <c r="DW129" s="1008">
        <f t="shared" si="158"/>
        <v>0</v>
      </c>
      <c r="DX129" s="1008">
        <f t="shared" si="158"/>
        <v>0</v>
      </c>
      <c r="DY129" s="1008">
        <f t="shared" ref="DY129:EB149" si="159">+AN129-DC129</f>
        <v>0</v>
      </c>
      <c r="DZ129" s="1008">
        <f t="shared" si="159"/>
        <v>0</v>
      </c>
      <c r="EA129" s="1008">
        <f t="shared" si="159"/>
        <v>0</v>
      </c>
      <c r="EB129" s="1008">
        <f t="shared" si="159"/>
        <v>0</v>
      </c>
      <c r="EC129" s="1008"/>
      <c r="ED129" s="1008">
        <f t="shared" ref="ED129:ED149" si="160">+AS129-DH129</f>
        <v>0</v>
      </c>
    </row>
    <row r="130" spans="1:136" ht="81" hidden="1" customHeight="1" x14ac:dyDescent="0.25">
      <c r="A130" s="1560"/>
      <c r="B130" s="989"/>
      <c r="C130" s="131" t="s">
        <v>4654</v>
      </c>
      <c r="D130" s="1019" t="s">
        <v>4652</v>
      </c>
      <c r="E130" s="994">
        <v>510</v>
      </c>
      <c r="F130" s="1120" t="s">
        <v>4548</v>
      </c>
      <c r="G130" s="1401"/>
      <c r="H130" s="1061">
        <f t="shared" si="143"/>
        <v>6828964</v>
      </c>
      <c r="I130" s="1061">
        <f t="shared" si="144"/>
        <v>171036</v>
      </c>
      <c r="J130" s="1120">
        <v>48124</v>
      </c>
      <c r="K130" s="1115">
        <v>73148</v>
      </c>
      <c r="L130" s="1115">
        <v>49086</v>
      </c>
      <c r="M130" s="1115">
        <v>98</v>
      </c>
      <c r="N130" s="1115">
        <v>30</v>
      </c>
      <c r="O130" s="1115">
        <v>29</v>
      </c>
      <c r="P130" s="1115">
        <v>98</v>
      </c>
      <c r="Q130" s="1115">
        <v>45</v>
      </c>
      <c r="R130" s="1115">
        <v>44</v>
      </c>
      <c r="S130" s="1120"/>
      <c r="T130" s="1120"/>
      <c r="U130" s="1120"/>
      <c r="V130" s="1120"/>
      <c r="W130" s="1120"/>
      <c r="X130" s="1120"/>
      <c r="Y130" s="1008">
        <f t="shared" si="145"/>
        <v>7000000</v>
      </c>
      <c r="Z130" s="1008"/>
      <c r="AA130" s="1008"/>
      <c r="AB130" s="1008"/>
      <c r="AC130" s="1008"/>
      <c r="AD130" s="1008"/>
      <c r="AE130" s="1008">
        <v>7000000</v>
      </c>
      <c r="AF130" s="1008"/>
      <c r="AG130" s="1008"/>
      <c r="AH130" s="1008"/>
      <c r="AI130" s="1008"/>
      <c r="AJ130" s="1008"/>
      <c r="AK130" s="1008"/>
      <c r="AL130" s="1008"/>
      <c r="AM130" s="1008"/>
      <c r="AN130" s="1008"/>
      <c r="AO130" s="1008"/>
      <c r="AP130" s="1008"/>
      <c r="AQ130" s="1008"/>
      <c r="AR130" s="1008"/>
      <c r="AS130" s="1008"/>
      <c r="AT130" s="984"/>
      <c r="AU130" s="1011">
        <f t="shared" si="103"/>
        <v>0.97557142857142853</v>
      </c>
      <c r="AV130" s="1008">
        <f t="shared" si="146"/>
        <v>6829000</v>
      </c>
      <c r="AW130" s="1008"/>
      <c r="AX130" s="1008"/>
      <c r="AY130" s="1008"/>
      <c r="AZ130" s="1008"/>
      <c r="BA130" s="1008"/>
      <c r="BB130" s="1008">
        <f>+'[10]MARZO 2015'!$N$1122</f>
        <v>6829000</v>
      </c>
      <c r="BC130" s="1008"/>
      <c r="BD130" s="1008"/>
      <c r="BE130" s="1008"/>
      <c r="BF130" s="1008"/>
      <c r="BG130" s="1008"/>
      <c r="BH130" s="1008"/>
      <c r="BI130" s="1008"/>
      <c r="BJ130" s="1008"/>
      <c r="BK130" s="1008"/>
      <c r="BL130" s="1008"/>
      <c r="BM130" s="1008"/>
      <c r="BN130" s="1008"/>
      <c r="BO130" s="1008"/>
      <c r="BP130" s="1008"/>
      <c r="BQ130" s="1011">
        <f t="shared" si="105"/>
        <v>2.4428571428571466E-2</v>
      </c>
      <c r="BR130" s="1008">
        <f t="shared" si="147"/>
        <v>171000</v>
      </c>
      <c r="BS130" s="1008">
        <f t="shared" si="148"/>
        <v>0</v>
      </c>
      <c r="BT130" s="1008">
        <f t="shared" si="149"/>
        <v>0</v>
      </c>
      <c r="BU130" s="1008"/>
      <c r="BV130" s="1008">
        <f t="shared" si="150"/>
        <v>0</v>
      </c>
      <c r="BW130" s="1008">
        <f t="shared" si="150"/>
        <v>0</v>
      </c>
      <c r="BX130" s="1008">
        <f t="shared" si="151"/>
        <v>171000</v>
      </c>
      <c r="BY130" s="1008">
        <f t="shared" si="151"/>
        <v>0</v>
      </c>
      <c r="BZ130" s="1008"/>
      <c r="CA130" s="1008">
        <f t="shared" si="152"/>
        <v>0</v>
      </c>
      <c r="CB130" s="1008">
        <f t="shared" si="152"/>
        <v>0</v>
      </c>
      <c r="CC130" s="1008">
        <f t="shared" si="152"/>
        <v>0</v>
      </c>
      <c r="CD130" s="1008">
        <f t="shared" si="152"/>
        <v>0</v>
      </c>
      <c r="CE130" s="1008">
        <f t="shared" si="152"/>
        <v>0</v>
      </c>
      <c r="CF130" s="1008">
        <f t="shared" si="152"/>
        <v>0</v>
      </c>
      <c r="CG130" s="1008">
        <f t="shared" si="152"/>
        <v>0</v>
      </c>
      <c r="CH130" s="1008">
        <f t="shared" si="152"/>
        <v>0</v>
      </c>
      <c r="CI130" s="1008">
        <f t="shared" si="152"/>
        <v>0</v>
      </c>
      <c r="CJ130" s="1008"/>
      <c r="CK130" s="1008"/>
      <c r="CL130" s="1008">
        <f t="shared" si="153"/>
        <v>0</v>
      </c>
      <c r="CM130" s="1011">
        <f t="shared" si="113"/>
        <v>0.97556628571428572</v>
      </c>
      <c r="CN130" s="1008">
        <f t="shared" si="154"/>
        <v>6828964</v>
      </c>
      <c r="CO130" s="1008"/>
      <c r="CP130" s="1008"/>
      <c r="CQ130" s="1008"/>
      <c r="CR130" s="1008"/>
      <c r="CS130" s="1008"/>
      <c r="CT130" s="1008">
        <f>+'[10]MARZO 2015'!$H$1120</f>
        <v>6828964</v>
      </c>
      <c r="CU130" s="1008"/>
      <c r="CV130" s="1008"/>
      <c r="CW130" s="1008"/>
      <c r="CX130" s="1008"/>
      <c r="CY130" s="1008"/>
      <c r="CZ130" s="1008"/>
      <c r="DA130" s="1008"/>
      <c r="DB130" s="1008"/>
      <c r="DC130" s="1008"/>
      <c r="DD130" s="1008"/>
      <c r="DE130" s="1008"/>
      <c r="DF130" s="1008"/>
      <c r="DG130" s="1008"/>
      <c r="DH130" s="1008"/>
      <c r="DI130" s="1011">
        <f t="shared" si="115"/>
        <v>2.4433714285714281E-2</v>
      </c>
      <c r="DJ130" s="1008">
        <f t="shared" si="155"/>
        <v>171036</v>
      </c>
      <c r="DK130" s="1008"/>
      <c r="DL130" s="1008"/>
      <c r="DM130" s="1008"/>
      <c r="DN130" s="1008">
        <f t="shared" si="156"/>
        <v>0</v>
      </c>
      <c r="DO130" s="1008">
        <f t="shared" si="156"/>
        <v>0</v>
      </c>
      <c r="DP130" s="1008">
        <f t="shared" si="156"/>
        <v>171036</v>
      </c>
      <c r="DQ130" s="1008">
        <f t="shared" si="156"/>
        <v>0</v>
      </c>
      <c r="DR130" s="1008"/>
      <c r="DS130" s="1008">
        <f t="shared" si="157"/>
        <v>0</v>
      </c>
      <c r="DT130" s="1008">
        <f t="shared" si="157"/>
        <v>0</v>
      </c>
      <c r="DU130" s="1008"/>
      <c r="DV130" s="1008">
        <f t="shared" si="158"/>
        <v>0</v>
      </c>
      <c r="DW130" s="1008">
        <f t="shared" si="158"/>
        <v>0</v>
      </c>
      <c r="DX130" s="1008">
        <f t="shared" si="158"/>
        <v>0</v>
      </c>
      <c r="DY130" s="1008">
        <f t="shared" si="159"/>
        <v>0</v>
      </c>
      <c r="DZ130" s="1008">
        <f t="shared" si="159"/>
        <v>0</v>
      </c>
      <c r="EA130" s="1008">
        <f t="shared" si="159"/>
        <v>0</v>
      </c>
      <c r="EB130" s="1008">
        <f t="shared" si="159"/>
        <v>0</v>
      </c>
      <c r="EC130" s="1008"/>
      <c r="ED130" s="1008">
        <f t="shared" si="160"/>
        <v>0</v>
      </c>
      <c r="EF130" s="1"/>
    </row>
    <row r="131" spans="1:136" ht="83.25" hidden="1" customHeight="1" x14ac:dyDescent="0.25">
      <c r="A131" s="1560"/>
      <c r="B131" s="989" t="s">
        <v>4449</v>
      </c>
      <c r="C131" s="1635" t="s">
        <v>4485</v>
      </c>
      <c r="D131" s="1019" t="s">
        <v>4584</v>
      </c>
      <c r="E131" s="994">
        <v>111</v>
      </c>
      <c r="F131" s="1120" t="s">
        <v>4482</v>
      </c>
      <c r="G131" s="1399">
        <v>20073000000</v>
      </c>
      <c r="H131" s="1061">
        <f t="shared" si="143"/>
        <v>0</v>
      </c>
      <c r="I131" s="1061">
        <f t="shared" si="144"/>
        <v>600000000</v>
      </c>
      <c r="J131" s="1120">
        <v>32909</v>
      </c>
      <c r="K131" s="1115">
        <v>47093</v>
      </c>
      <c r="L131" s="1115">
        <v>34554</v>
      </c>
      <c r="M131" s="1115">
        <v>0</v>
      </c>
      <c r="N131" s="1115">
        <v>0</v>
      </c>
      <c r="O131" s="1115">
        <v>0</v>
      </c>
      <c r="P131" s="1115">
        <v>0</v>
      </c>
      <c r="Q131" s="1115">
        <v>0</v>
      </c>
      <c r="R131" s="1115">
        <v>0</v>
      </c>
      <c r="S131" s="1120"/>
      <c r="T131" s="1120"/>
      <c r="U131" s="1120"/>
      <c r="V131" s="1120"/>
      <c r="W131" s="1120"/>
      <c r="X131" s="1120"/>
      <c r="Y131" s="1008">
        <f t="shared" si="145"/>
        <v>600000000</v>
      </c>
      <c r="Z131" s="1008"/>
      <c r="AA131" s="1008"/>
      <c r="AB131" s="1008"/>
      <c r="AC131" s="1008">
        <f>1590000000+400000000-850705529-550000000</f>
        <v>589294471</v>
      </c>
      <c r="AD131" s="1008"/>
      <c r="AE131" s="1008">
        <f>5000000</f>
        <v>5000000</v>
      </c>
      <c r="AF131" s="1008"/>
      <c r="AG131" s="1008"/>
      <c r="AH131" s="1008"/>
      <c r="AI131" s="1008"/>
      <c r="AJ131" s="1008"/>
      <c r="AK131" s="1008"/>
      <c r="AL131" s="1008"/>
      <c r="AM131" s="1008"/>
      <c r="AN131" s="1008"/>
      <c r="AO131" s="1008">
        <f>55705529-50000000</f>
        <v>5705529</v>
      </c>
      <c r="AP131" s="1008"/>
      <c r="AQ131" s="1008"/>
      <c r="AR131" s="1008"/>
      <c r="AS131" s="1008"/>
      <c r="AT131" s="984"/>
      <c r="AU131" s="1011">
        <f t="shared" si="103"/>
        <v>0</v>
      </c>
      <c r="AV131" s="1008">
        <f t="shared" si="146"/>
        <v>0</v>
      </c>
      <c r="AW131" s="1008"/>
      <c r="AX131" s="1008"/>
      <c r="AY131" s="1008"/>
      <c r="AZ131" s="1008"/>
      <c r="BA131" s="1008"/>
      <c r="BB131" s="1008"/>
      <c r="BC131" s="1008"/>
      <c r="BD131" s="1008"/>
      <c r="BE131" s="1008"/>
      <c r="BF131" s="1008"/>
      <c r="BG131" s="1008"/>
      <c r="BH131" s="1008"/>
      <c r="BI131" s="1008"/>
      <c r="BJ131" s="1008"/>
      <c r="BK131" s="1008"/>
      <c r="BL131" s="1008"/>
      <c r="BM131" s="1008"/>
      <c r="BN131" s="1008"/>
      <c r="BO131" s="1008"/>
      <c r="BP131" s="1008"/>
      <c r="BQ131" s="1011">
        <f t="shared" si="105"/>
        <v>1</v>
      </c>
      <c r="BR131" s="1008">
        <f t="shared" si="147"/>
        <v>600000000</v>
      </c>
      <c r="BS131" s="1008">
        <f t="shared" si="148"/>
        <v>0</v>
      </c>
      <c r="BT131" s="1008">
        <f t="shared" si="149"/>
        <v>0</v>
      </c>
      <c r="BU131" s="1008"/>
      <c r="BV131" s="1008">
        <f t="shared" si="150"/>
        <v>589294471</v>
      </c>
      <c r="BW131" s="1008">
        <f t="shared" si="150"/>
        <v>0</v>
      </c>
      <c r="BX131" s="1008">
        <f t="shared" si="151"/>
        <v>5000000</v>
      </c>
      <c r="BY131" s="1008">
        <f t="shared" si="151"/>
        <v>0</v>
      </c>
      <c r="BZ131" s="1008"/>
      <c r="CA131" s="1008">
        <f t="shared" si="152"/>
        <v>0</v>
      </c>
      <c r="CB131" s="1008">
        <f t="shared" si="152"/>
        <v>0</v>
      </c>
      <c r="CC131" s="1008">
        <f t="shared" si="152"/>
        <v>0</v>
      </c>
      <c r="CD131" s="1008">
        <f t="shared" si="152"/>
        <v>0</v>
      </c>
      <c r="CE131" s="1008">
        <f t="shared" si="152"/>
        <v>0</v>
      </c>
      <c r="CF131" s="1008">
        <f t="shared" si="152"/>
        <v>0</v>
      </c>
      <c r="CG131" s="1008">
        <f t="shared" si="152"/>
        <v>0</v>
      </c>
      <c r="CH131" s="1008">
        <f t="shared" si="152"/>
        <v>5705529</v>
      </c>
      <c r="CI131" s="1008">
        <f t="shared" si="152"/>
        <v>0</v>
      </c>
      <c r="CJ131" s="1008"/>
      <c r="CK131" s="1008"/>
      <c r="CL131" s="1008">
        <f t="shared" si="153"/>
        <v>0</v>
      </c>
      <c r="CM131" s="1011">
        <f t="shared" si="113"/>
        <v>0</v>
      </c>
      <c r="CN131" s="1008">
        <f t="shared" si="154"/>
        <v>0</v>
      </c>
      <c r="CO131" s="1008"/>
      <c r="CP131" s="1008"/>
      <c r="CQ131" s="1008"/>
      <c r="CR131" s="1008"/>
      <c r="CS131" s="1008"/>
      <c r="CT131" s="1008"/>
      <c r="CU131" s="1008"/>
      <c r="CV131" s="1008"/>
      <c r="CW131" s="1008"/>
      <c r="CX131" s="1008"/>
      <c r="CY131" s="1008"/>
      <c r="CZ131" s="1008"/>
      <c r="DA131" s="1008"/>
      <c r="DB131" s="1008"/>
      <c r="DC131" s="1008"/>
      <c r="DD131" s="1008"/>
      <c r="DE131" s="1008"/>
      <c r="DF131" s="1008"/>
      <c r="DG131" s="1008"/>
      <c r="DH131" s="1008"/>
      <c r="DI131" s="1011">
        <f t="shared" si="115"/>
        <v>1</v>
      </c>
      <c r="DJ131" s="1008">
        <f t="shared" si="155"/>
        <v>600000000</v>
      </c>
      <c r="DK131" s="1008"/>
      <c r="DL131" s="1008"/>
      <c r="DM131" s="1008"/>
      <c r="DN131" s="1008">
        <f t="shared" si="156"/>
        <v>589294471</v>
      </c>
      <c r="DO131" s="1008">
        <f t="shared" si="156"/>
        <v>0</v>
      </c>
      <c r="DP131" s="1008">
        <f t="shared" si="156"/>
        <v>5000000</v>
      </c>
      <c r="DQ131" s="1008">
        <f t="shared" si="156"/>
        <v>0</v>
      </c>
      <c r="DR131" s="1008"/>
      <c r="DS131" s="1008">
        <f t="shared" si="157"/>
        <v>0</v>
      </c>
      <c r="DT131" s="1008">
        <f t="shared" si="157"/>
        <v>0</v>
      </c>
      <c r="DU131" s="1008"/>
      <c r="DV131" s="1008">
        <f t="shared" si="158"/>
        <v>0</v>
      </c>
      <c r="DW131" s="1008">
        <f t="shared" si="158"/>
        <v>0</v>
      </c>
      <c r="DX131" s="1008">
        <f t="shared" si="158"/>
        <v>0</v>
      </c>
      <c r="DY131" s="1008">
        <f t="shared" si="159"/>
        <v>0</v>
      </c>
      <c r="DZ131" s="1008">
        <f t="shared" si="159"/>
        <v>5705529</v>
      </c>
      <c r="EA131" s="1008">
        <f t="shared" si="159"/>
        <v>0</v>
      </c>
      <c r="EB131" s="1008">
        <f t="shared" si="159"/>
        <v>0</v>
      </c>
      <c r="EC131" s="1008"/>
      <c r="ED131" s="1008">
        <f t="shared" si="160"/>
        <v>0</v>
      </c>
    </row>
    <row r="132" spans="1:136" s="203" customFormat="1" ht="36" hidden="1" customHeight="1" x14ac:dyDescent="0.25">
      <c r="A132" s="1560"/>
      <c r="B132" s="989"/>
      <c r="C132" s="1631" t="s">
        <v>4486</v>
      </c>
      <c r="D132" s="1019" t="s">
        <v>4469</v>
      </c>
      <c r="E132" s="989">
        <v>111</v>
      </c>
      <c r="F132" s="1120" t="s">
        <v>4482</v>
      </c>
      <c r="G132" s="1400"/>
      <c r="H132" s="1061">
        <f t="shared" si="143"/>
        <v>0</v>
      </c>
      <c r="I132" s="1061">
        <f t="shared" si="144"/>
        <v>830000000</v>
      </c>
      <c r="J132" s="1120">
        <v>42349</v>
      </c>
      <c r="K132" s="1115">
        <v>50522</v>
      </c>
      <c r="L132" s="1115">
        <v>43238</v>
      </c>
      <c r="M132" s="1075">
        <v>0</v>
      </c>
      <c r="N132" s="1075">
        <v>0</v>
      </c>
      <c r="O132" s="1075">
        <v>0</v>
      </c>
      <c r="P132" s="1075"/>
      <c r="Q132" s="1075"/>
      <c r="R132" s="1075"/>
      <c r="S132" s="1120"/>
      <c r="T132" s="1120"/>
      <c r="U132" s="1120"/>
      <c r="V132" s="1120"/>
      <c r="W132" s="1120"/>
      <c r="X132" s="1120"/>
      <c r="Y132" s="1067">
        <f t="shared" si="145"/>
        <v>830000000</v>
      </c>
      <c r="Z132" s="1067"/>
      <c r="AA132" s="1067"/>
      <c r="AB132" s="1067"/>
      <c r="AC132" s="1067">
        <v>830000000</v>
      </c>
      <c r="AD132" s="1067"/>
      <c r="AE132" s="1067"/>
      <c r="AF132" s="1067"/>
      <c r="AG132" s="1067"/>
      <c r="AH132" s="1067"/>
      <c r="AI132" s="1067"/>
      <c r="AJ132" s="1067"/>
      <c r="AK132" s="1067"/>
      <c r="AL132" s="1067"/>
      <c r="AM132" s="1067"/>
      <c r="AN132" s="1067"/>
      <c r="AO132" s="1067"/>
      <c r="AP132" s="1067"/>
      <c r="AQ132" s="1067"/>
      <c r="AR132" s="1067"/>
      <c r="AS132" s="1067"/>
      <c r="AT132" s="1089"/>
      <c r="AU132" s="1082">
        <f t="shared" si="103"/>
        <v>0.93501395783132535</v>
      </c>
      <c r="AV132" s="1067">
        <f t="shared" si="146"/>
        <v>776061585</v>
      </c>
      <c r="AW132" s="1067"/>
      <c r="AX132" s="1067"/>
      <c r="AY132" s="1067"/>
      <c r="AZ132" s="1067">
        <f>+'[18]OCTUBRE 2015'!$M$24</f>
        <v>776061585</v>
      </c>
      <c r="BA132" s="1067"/>
      <c r="BB132" s="1067"/>
      <c r="BC132" s="1067"/>
      <c r="BD132" s="1067"/>
      <c r="BE132" s="1067"/>
      <c r="BF132" s="1067"/>
      <c r="BG132" s="1067"/>
      <c r="BH132" s="1067"/>
      <c r="BI132" s="1067"/>
      <c r="BJ132" s="1067"/>
      <c r="BK132" s="1067"/>
      <c r="BL132" s="1067"/>
      <c r="BM132" s="1067"/>
      <c r="BN132" s="1067"/>
      <c r="BO132" s="1067"/>
      <c r="BP132" s="1067"/>
      <c r="BQ132" s="1082">
        <f t="shared" si="105"/>
        <v>6.4986042168674651E-2</v>
      </c>
      <c r="BR132" s="1067">
        <f t="shared" si="147"/>
        <v>53938415</v>
      </c>
      <c r="BS132" s="1067">
        <f t="shared" si="148"/>
        <v>0</v>
      </c>
      <c r="BT132" s="1067">
        <f t="shared" si="149"/>
        <v>0</v>
      </c>
      <c r="BU132" s="1067"/>
      <c r="BV132" s="1067">
        <f t="shared" si="150"/>
        <v>53938415</v>
      </c>
      <c r="BW132" s="1067">
        <f t="shared" si="150"/>
        <v>0</v>
      </c>
      <c r="BX132" s="1067">
        <f t="shared" si="151"/>
        <v>0</v>
      </c>
      <c r="BY132" s="1067">
        <f t="shared" si="151"/>
        <v>0</v>
      </c>
      <c r="BZ132" s="1067"/>
      <c r="CA132" s="1067">
        <f t="shared" si="152"/>
        <v>0</v>
      </c>
      <c r="CB132" s="1067">
        <f t="shared" si="152"/>
        <v>0</v>
      </c>
      <c r="CC132" s="1067">
        <f t="shared" si="152"/>
        <v>0</v>
      </c>
      <c r="CD132" s="1067">
        <f t="shared" si="152"/>
        <v>0</v>
      </c>
      <c r="CE132" s="1067">
        <f t="shared" si="152"/>
        <v>0</v>
      </c>
      <c r="CF132" s="1067">
        <f t="shared" si="152"/>
        <v>0</v>
      </c>
      <c r="CG132" s="1067">
        <f t="shared" si="152"/>
        <v>0</v>
      </c>
      <c r="CH132" s="1067">
        <f t="shared" si="152"/>
        <v>0</v>
      </c>
      <c r="CI132" s="1067">
        <f t="shared" si="152"/>
        <v>0</v>
      </c>
      <c r="CJ132" s="1067"/>
      <c r="CK132" s="1067"/>
      <c r="CL132" s="1067">
        <f t="shared" si="153"/>
        <v>0</v>
      </c>
      <c r="CM132" s="1082">
        <f t="shared" si="113"/>
        <v>0</v>
      </c>
      <c r="CN132" s="1067">
        <f t="shared" si="154"/>
        <v>0</v>
      </c>
      <c r="CO132" s="1067"/>
      <c r="CP132" s="1067"/>
      <c r="CQ132" s="1067"/>
      <c r="CR132" s="1067"/>
      <c r="CS132" s="1067"/>
      <c r="CT132" s="1067"/>
      <c r="CU132" s="1067"/>
      <c r="CV132" s="1067"/>
      <c r="CW132" s="1067"/>
      <c r="CX132" s="1067"/>
      <c r="CY132" s="1067"/>
      <c r="CZ132" s="1067"/>
      <c r="DA132" s="1067"/>
      <c r="DB132" s="1067"/>
      <c r="DC132" s="1067"/>
      <c r="DD132" s="1067"/>
      <c r="DE132" s="1067"/>
      <c r="DF132" s="1067"/>
      <c r="DG132" s="1067"/>
      <c r="DH132" s="1067"/>
      <c r="DI132" s="1082">
        <f t="shared" si="115"/>
        <v>1</v>
      </c>
      <c r="DJ132" s="1067">
        <f t="shared" si="155"/>
        <v>830000000</v>
      </c>
      <c r="DK132" s="1067"/>
      <c r="DL132" s="1067"/>
      <c r="DM132" s="1067"/>
      <c r="DN132" s="1067">
        <f t="shared" si="156"/>
        <v>830000000</v>
      </c>
      <c r="DO132" s="1067">
        <f t="shared" si="156"/>
        <v>0</v>
      </c>
      <c r="DP132" s="1067">
        <f t="shared" si="156"/>
        <v>0</v>
      </c>
      <c r="DQ132" s="1067">
        <f t="shared" si="156"/>
        <v>0</v>
      </c>
      <c r="DR132" s="1067"/>
      <c r="DS132" s="1067">
        <f t="shared" si="157"/>
        <v>0</v>
      </c>
      <c r="DT132" s="1067">
        <f t="shared" si="157"/>
        <v>0</v>
      </c>
      <c r="DU132" s="1067"/>
      <c r="DV132" s="1067">
        <f t="shared" si="158"/>
        <v>0</v>
      </c>
      <c r="DW132" s="1067">
        <f t="shared" si="158"/>
        <v>0</v>
      </c>
      <c r="DX132" s="1067">
        <f t="shared" si="158"/>
        <v>0</v>
      </c>
      <c r="DY132" s="1067">
        <f t="shared" si="159"/>
        <v>0</v>
      </c>
      <c r="DZ132" s="1067">
        <f t="shared" si="159"/>
        <v>0</v>
      </c>
      <c r="EA132" s="1067">
        <f t="shared" si="159"/>
        <v>0</v>
      </c>
      <c r="EB132" s="1067">
        <f t="shared" si="159"/>
        <v>0</v>
      </c>
      <c r="EC132" s="1067"/>
      <c r="ED132" s="1067">
        <f t="shared" si="160"/>
        <v>0</v>
      </c>
    </row>
    <row r="133" spans="1:136" ht="37.5" hidden="1" customHeight="1" x14ac:dyDescent="0.25">
      <c r="A133" s="1560"/>
      <c r="B133" s="989"/>
      <c r="C133" s="1635" t="s">
        <v>4487</v>
      </c>
      <c r="D133" s="1019" t="s">
        <v>4470</v>
      </c>
      <c r="E133" s="994">
        <v>111</v>
      </c>
      <c r="F133" s="1120" t="s">
        <v>4482</v>
      </c>
      <c r="G133" s="1400"/>
      <c r="H133" s="1061">
        <f t="shared" si="143"/>
        <v>349660736</v>
      </c>
      <c r="I133" s="1061">
        <f t="shared" si="144"/>
        <v>339264</v>
      </c>
      <c r="J133" s="1120">
        <v>28874</v>
      </c>
      <c r="K133" s="1115">
        <v>48220</v>
      </c>
      <c r="L133" s="1115">
        <v>31184</v>
      </c>
      <c r="M133" s="1115">
        <v>0</v>
      </c>
      <c r="N133" s="1115">
        <v>0</v>
      </c>
      <c r="O133" s="1115">
        <v>0</v>
      </c>
      <c r="P133" s="1115">
        <v>0</v>
      </c>
      <c r="Q133" s="1115"/>
      <c r="R133" s="1115">
        <v>0</v>
      </c>
      <c r="S133" s="1120"/>
      <c r="T133" s="1120"/>
      <c r="U133" s="1120"/>
      <c r="V133" s="1120"/>
      <c r="W133" s="1120"/>
      <c r="X133" s="1120"/>
      <c r="Y133" s="1008">
        <f t="shared" si="145"/>
        <v>350000000</v>
      </c>
      <c r="Z133" s="1008"/>
      <c r="AA133" s="1008"/>
      <c r="AB133" s="1008"/>
      <c r="AC133" s="1008">
        <f>212000000+103000000+12000000</f>
        <v>327000000</v>
      </c>
      <c r="AD133" s="1008"/>
      <c r="AE133" s="1008"/>
      <c r="AF133" s="1008"/>
      <c r="AG133" s="1008"/>
      <c r="AH133" s="1008"/>
      <c r="AI133" s="1008"/>
      <c r="AJ133" s="1008"/>
      <c r="AK133" s="1008"/>
      <c r="AL133" s="1008"/>
      <c r="AM133" s="1008"/>
      <c r="AN133" s="1008"/>
      <c r="AO133" s="1008">
        <v>23000000</v>
      </c>
      <c r="AP133" s="1008"/>
      <c r="AQ133" s="1008"/>
      <c r="AR133" s="1008"/>
      <c r="AS133" s="1008"/>
      <c r="AT133" s="984"/>
      <c r="AU133" s="1011">
        <f t="shared" si="103"/>
        <v>0.99903067428571424</v>
      </c>
      <c r="AV133" s="1008">
        <f t="shared" si="146"/>
        <v>349660736</v>
      </c>
      <c r="AW133" s="1008"/>
      <c r="AX133" s="1008"/>
      <c r="AY133" s="1008"/>
      <c r="AZ133" s="1008">
        <f>+'[18]OCTUBRE 2015'!$M$28</f>
        <v>326999042</v>
      </c>
      <c r="BA133" s="1008"/>
      <c r="BB133" s="1008"/>
      <c r="BC133" s="1008"/>
      <c r="BD133" s="1008"/>
      <c r="BE133" s="1008"/>
      <c r="BF133" s="1008"/>
      <c r="BG133" s="1008"/>
      <c r="BH133" s="1008"/>
      <c r="BI133" s="1008"/>
      <c r="BJ133" s="1008"/>
      <c r="BK133" s="1008"/>
      <c r="BL133" s="1008">
        <f>+'[17]SEPTIEMBRE 2015'!$Y$28</f>
        <v>22661694</v>
      </c>
      <c r="BM133" s="1008"/>
      <c r="BN133" s="1008"/>
      <c r="BO133" s="1008"/>
      <c r="BP133" s="1008"/>
      <c r="BQ133" s="1011">
        <f t="shared" si="105"/>
        <v>9.6932571428576253E-4</v>
      </c>
      <c r="BR133" s="1008">
        <f t="shared" si="147"/>
        <v>339264</v>
      </c>
      <c r="BS133" s="1008">
        <f t="shared" si="148"/>
        <v>0</v>
      </c>
      <c r="BT133" s="1008">
        <f t="shared" si="149"/>
        <v>0</v>
      </c>
      <c r="BU133" s="1008"/>
      <c r="BV133" s="1008">
        <f t="shared" si="150"/>
        <v>958</v>
      </c>
      <c r="BW133" s="1008">
        <f t="shared" si="150"/>
        <v>0</v>
      </c>
      <c r="BX133" s="1008">
        <f t="shared" si="151"/>
        <v>0</v>
      </c>
      <c r="BY133" s="1008">
        <f t="shared" si="151"/>
        <v>0</v>
      </c>
      <c r="BZ133" s="1008"/>
      <c r="CA133" s="1008">
        <f t="shared" si="152"/>
        <v>0</v>
      </c>
      <c r="CB133" s="1008">
        <f t="shared" si="152"/>
        <v>0</v>
      </c>
      <c r="CC133" s="1008">
        <f t="shared" si="152"/>
        <v>0</v>
      </c>
      <c r="CD133" s="1008">
        <f t="shared" si="152"/>
        <v>0</v>
      </c>
      <c r="CE133" s="1008">
        <f t="shared" si="152"/>
        <v>0</v>
      </c>
      <c r="CF133" s="1008">
        <f t="shared" si="152"/>
        <v>0</v>
      </c>
      <c r="CG133" s="1008">
        <f t="shared" si="152"/>
        <v>0</v>
      </c>
      <c r="CH133" s="1008">
        <f t="shared" si="152"/>
        <v>338306</v>
      </c>
      <c r="CI133" s="1008">
        <f t="shared" si="152"/>
        <v>0</v>
      </c>
      <c r="CJ133" s="1008"/>
      <c r="CK133" s="1008"/>
      <c r="CL133" s="1008">
        <f t="shared" si="153"/>
        <v>0</v>
      </c>
      <c r="CM133" s="1011">
        <f t="shared" si="113"/>
        <v>0.99903067428571424</v>
      </c>
      <c r="CN133" s="1008">
        <f t="shared" si="154"/>
        <v>349660736</v>
      </c>
      <c r="CO133" s="1008"/>
      <c r="CP133" s="1008"/>
      <c r="CQ133" s="1008"/>
      <c r="CR133" s="1008">
        <f>+'[18]OCTUBRE 2015'!$H$29+'[18]OCTUBRE 2015'!$H$31</f>
        <v>326999042</v>
      </c>
      <c r="CS133" s="1008"/>
      <c r="CT133" s="1008"/>
      <c r="CU133" s="1008"/>
      <c r="CV133" s="1008"/>
      <c r="CW133" s="1008"/>
      <c r="CX133" s="1008"/>
      <c r="CY133" s="1008"/>
      <c r="CZ133" s="1008"/>
      <c r="DA133" s="1008"/>
      <c r="DB133" s="1008"/>
      <c r="DC133" s="1008"/>
      <c r="DD133" s="1008">
        <f>+'[17]SEPTIEMBRE 2015'!$H$33</f>
        <v>22661694</v>
      </c>
      <c r="DE133" s="1008"/>
      <c r="DF133" s="1008"/>
      <c r="DG133" s="1008"/>
      <c r="DH133" s="1008"/>
      <c r="DI133" s="1011">
        <f t="shared" si="115"/>
        <v>9.6932571428576253E-4</v>
      </c>
      <c r="DJ133" s="1008">
        <f t="shared" si="155"/>
        <v>339264</v>
      </c>
      <c r="DK133" s="1008"/>
      <c r="DL133" s="1008"/>
      <c r="DM133" s="1008"/>
      <c r="DN133" s="1008">
        <f t="shared" si="156"/>
        <v>958</v>
      </c>
      <c r="DO133" s="1008">
        <f t="shared" si="156"/>
        <v>0</v>
      </c>
      <c r="DP133" s="1008">
        <f t="shared" si="156"/>
        <v>0</v>
      </c>
      <c r="DQ133" s="1008">
        <f t="shared" si="156"/>
        <v>0</v>
      </c>
      <c r="DR133" s="1008"/>
      <c r="DS133" s="1008">
        <f t="shared" si="157"/>
        <v>0</v>
      </c>
      <c r="DT133" s="1008">
        <f t="shared" si="157"/>
        <v>0</v>
      </c>
      <c r="DU133" s="1008"/>
      <c r="DV133" s="1008">
        <f t="shared" si="158"/>
        <v>0</v>
      </c>
      <c r="DW133" s="1008">
        <f t="shared" si="158"/>
        <v>0</v>
      </c>
      <c r="DX133" s="1008">
        <f t="shared" si="158"/>
        <v>0</v>
      </c>
      <c r="DY133" s="1008">
        <f t="shared" si="159"/>
        <v>0</v>
      </c>
      <c r="DZ133" s="1008">
        <f t="shared" si="159"/>
        <v>338306</v>
      </c>
      <c r="EA133" s="1008">
        <f t="shared" si="159"/>
        <v>0</v>
      </c>
      <c r="EB133" s="1008">
        <f t="shared" si="159"/>
        <v>0</v>
      </c>
      <c r="EC133" s="1008"/>
      <c r="ED133" s="1008">
        <f t="shared" si="160"/>
        <v>0</v>
      </c>
    </row>
    <row r="134" spans="1:136" ht="33" hidden="1" customHeight="1" x14ac:dyDescent="0.25">
      <c r="A134" s="1560"/>
      <c r="B134" s="989"/>
      <c r="C134" s="1635" t="s">
        <v>4488</v>
      </c>
      <c r="D134" s="1019" t="s">
        <v>4471</v>
      </c>
      <c r="E134" s="994">
        <v>111</v>
      </c>
      <c r="F134" s="1120" t="s">
        <v>4482</v>
      </c>
      <c r="G134" s="1400"/>
      <c r="H134" s="1061">
        <f t="shared" si="143"/>
        <v>598906128</v>
      </c>
      <c r="I134" s="1061">
        <f t="shared" si="144"/>
        <v>7460796</v>
      </c>
      <c r="J134" s="1120">
        <v>55000</v>
      </c>
      <c r="K134" s="1115">
        <v>85140</v>
      </c>
      <c r="L134" s="1115">
        <v>57970</v>
      </c>
      <c r="M134" s="1115">
        <v>41</v>
      </c>
      <c r="N134" s="1115">
        <v>25</v>
      </c>
      <c r="O134" s="1115">
        <v>10</v>
      </c>
      <c r="P134" s="1115">
        <v>97</v>
      </c>
      <c r="Q134" s="1115">
        <v>25</v>
      </c>
      <c r="R134" s="1115">
        <v>24</v>
      </c>
      <c r="S134" s="1120"/>
      <c r="T134" s="1120"/>
      <c r="U134" s="1120"/>
      <c r="V134" s="1120"/>
      <c r="W134" s="1120"/>
      <c r="X134" s="1120"/>
      <c r="Y134" s="1008">
        <f t="shared" si="145"/>
        <v>606366924</v>
      </c>
      <c r="Z134" s="1008"/>
      <c r="AA134" s="1008"/>
      <c r="AB134" s="1008"/>
      <c r="AC134" s="1008">
        <f>636000000+213203847-262848257</f>
        <v>586355590</v>
      </c>
      <c r="AD134" s="1008">
        <f>20011334</f>
        <v>20011334</v>
      </c>
      <c r="AE134" s="1008"/>
      <c r="AF134" s="1008"/>
      <c r="AG134" s="1008"/>
      <c r="AH134" s="1008"/>
      <c r="AI134" s="1008"/>
      <c r="AJ134" s="1008"/>
      <c r="AK134" s="1008"/>
      <c r="AL134" s="1008"/>
      <c r="AM134" s="1008"/>
      <c r="AN134" s="1008"/>
      <c r="AO134" s="1008"/>
      <c r="AP134" s="1008"/>
      <c r="AQ134" s="1008"/>
      <c r="AR134" s="1008"/>
      <c r="AS134" s="1008"/>
      <c r="AT134" s="984"/>
      <c r="AU134" s="1011">
        <f t="shared" si="103"/>
        <v>0.9958638146298362</v>
      </c>
      <c r="AV134" s="1008">
        <f t="shared" si="146"/>
        <v>603858878</v>
      </c>
      <c r="AW134" s="1008"/>
      <c r="AX134" s="1008"/>
      <c r="AY134" s="1008"/>
      <c r="AZ134" s="1008">
        <f>+'[17]SEPTIEMBRE 2015'!$M$38</f>
        <v>586355588</v>
      </c>
      <c r="BA134" s="1008">
        <f>+'[16]AGOSTO 2015'!$N$33</f>
        <v>17503290</v>
      </c>
      <c r="BB134" s="1008"/>
      <c r="BC134" s="1008"/>
      <c r="BD134" s="1008"/>
      <c r="BE134" s="1008"/>
      <c r="BF134" s="1008"/>
      <c r="BG134" s="1008"/>
      <c r="BH134" s="1008"/>
      <c r="BI134" s="1008"/>
      <c r="BJ134" s="1008"/>
      <c r="BK134" s="1008"/>
      <c r="BL134" s="1008"/>
      <c r="BM134" s="1008"/>
      <c r="BN134" s="1008"/>
      <c r="BO134" s="1008"/>
      <c r="BP134" s="1008"/>
      <c r="BQ134" s="1011">
        <f t="shared" si="105"/>
        <v>4.1361853701638029E-3</v>
      </c>
      <c r="BR134" s="1008">
        <f t="shared" si="147"/>
        <v>2508046</v>
      </c>
      <c r="BS134" s="1008">
        <f t="shared" si="148"/>
        <v>0</v>
      </c>
      <c r="BT134" s="1008">
        <f t="shared" si="149"/>
        <v>0</v>
      </c>
      <c r="BU134" s="1008"/>
      <c r="BV134" s="1008">
        <f t="shared" si="150"/>
        <v>2</v>
      </c>
      <c r="BW134" s="1008">
        <f t="shared" si="150"/>
        <v>2508044</v>
      </c>
      <c r="BX134" s="1008">
        <f t="shared" si="151"/>
        <v>0</v>
      </c>
      <c r="BY134" s="1008">
        <f t="shared" si="151"/>
        <v>0</v>
      </c>
      <c r="BZ134" s="1008"/>
      <c r="CA134" s="1008">
        <f t="shared" si="152"/>
        <v>0</v>
      </c>
      <c r="CB134" s="1008">
        <f t="shared" si="152"/>
        <v>0</v>
      </c>
      <c r="CC134" s="1008">
        <f t="shared" si="152"/>
        <v>0</v>
      </c>
      <c r="CD134" s="1008">
        <f t="shared" si="152"/>
        <v>0</v>
      </c>
      <c r="CE134" s="1008">
        <f t="shared" si="152"/>
        <v>0</v>
      </c>
      <c r="CF134" s="1008">
        <f t="shared" si="152"/>
        <v>0</v>
      </c>
      <c r="CG134" s="1008">
        <f t="shared" si="152"/>
        <v>0</v>
      </c>
      <c r="CH134" s="1008">
        <f t="shared" si="152"/>
        <v>0</v>
      </c>
      <c r="CI134" s="1008">
        <f t="shared" si="152"/>
        <v>0</v>
      </c>
      <c r="CJ134" s="1008"/>
      <c r="CK134" s="1008"/>
      <c r="CL134" s="1008">
        <f t="shared" si="153"/>
        <v>0</v>
      </c>
      <c r="CM134" s="1011">
        <f t="shared" si="113"/>
        <v>0.98769590539209551</v>
      </c>
      <c r="CN134" s="1008">
        <f t="shared" si="154"/>
        <v>598906128</v>
      </c>
      <c r="CO134" s="1008"/>
      <c r="CP134" s="1008"/>
      <c r="CQ134" s="1008"/>
      <c r="CR134" s="1008">
        <f>+'[16]AGOSTO 2015'!$H$34+'[16]AGOSTO 2015'!$G$43</f>
        <v>586355588</v>
      </c>
      <c r="CS134" s="1008">
        <f>+'[16]AGOSTO 2015'!$H$45+'[16]AGOSTO 2015'!$H$47+'[16]AGOSTO 2015'!$H$50</f>
        <v>12550540</v>
      </c>
      <c r="CT134" s="1008"/>
      <c r="CU134" s="1008"/>
      <c r="CV134" s="1008"/>
      <c r="CW134" s="1008"/>
      <c r="CX134" s="1008"/>
      <c r="CY134" s="1008"/>
      <c r="CZ134" s="1008"/>
      <c r="DA134" s="1008"/>
      <c r="DB134" s="1008"/>
      <c r="DC134" s="1008"/>
      <c r="DD134" s="1008"/>
      <c r="DE134" s="1008"/>
      <c r="DF134" s="1008"/>
      <c r="DG134" s="1008"/>
      <c r="DH134" s="1008"/>
      <c r="DI134" s="1011">
        <f t="shared" si="115"/>
        <v>1.2304094607904492E-2</v>
      </c>
      <c r="DJ134" s="1008">
        <f t="shared" si="155"/>
        <v>7460796</v>
      </c>
      <c r="DK134" s="1008"/>
      <c r="DL134" s="1008"/>
      <c r="DM134" s="1008"/>
      <c r="DN134" s="1008">
        <f t="shared" si="156"/>
        <v>2</v>
      </c>
      <c r="DO134" s="1008">
        <f t="shared" si="156"/>
        <v>7460794</v>
      </c>
      <c r="DP134" s="1008">
        <f t="shared" si="156"/>
        <v>0</v>
      </c>
      <c r="DQ134" s="1008">
        <f t="shared" si="156"/>
        <v>0</v>
      </c>
      <c r="DR134" s="1008"/>
      <c r="DS134" s="1008">
        <f t="shared" si="157"/>
        <v>0</v>
      </c>
      <c r="DT134" s="1008">
        <f t="shared" si="157"/>
        <v>0</v>
      </c>
      <c r="DU134" s="1008"/>
      <c r="DV134" s="1008">
        <f t="shared" si="158"/>
        <v>0</v>
      </c>
      <c r="DW134" s="1008">
        <f t="shared" si="158"/>
        <v>0</v>
      </c>
      <c r="DX134" s="1008">
        <f t="shared" si="158"/>
        <v>0</v>
      </c>
      <c r="DY134" s="1008">
        <f t="shared" si="159"/>
        <v>0</v>
      </c>
      <c r="DZ134" s="1008">
        <f t="shared" si="159"/>
        <v>0</v>
      </c>
      <c r="EA134" s="1008">
        <f t="shared" si="159"/>
        <v>0</v>
      </c>
      <c r="EB134" s="1008">
        <f t="shared" si="159"/>
        <v>0</v>
      </c>
      <c r="EC134" s="1008"/>
      <c r="ED134" s="1008">
        <f t="shared" si="160"/>
        <v>0</v>
      </c>
    </row>
    <row r="135" spans="1:136" s="203" customFormat="1" ht="51" hidden="1" customHeight="1" x14ac:dyDescent="0.25">
      <c r="A135" s="1560"/>
      <c r="B135" s="989"/>
      <c r="C135" s="1631" t="s">
        <v>4489</v>
      </c>
      <c r="D135" s="1019" t="s">
        <v>4472</v>
      </c>
      <c r="E135" s="989">
        <v>111</v>
      </c>
      <c r="F135" s="1120" t="s">
        <v>4482</v>
      </c>
      <c r="G135" s="1400"/>
      <c r="H135" s="1061">
        <f t="shared" si="143"/>
        <v>0</v>
      </c>
      <c r="I135" s="1061">
        <f t="shared" si="144"/>
        <v>650000000</v>
      </c>
      <c r="J135" s="1120">
        <v>100</v>
      </c>
      <c r="K135" s="1115">
        <v>130</v>
      </c>
      <c r="L135" s="1115">
        <v>103</v>
      </c>
      <c r="M135" s="1075">
        <v>0</v>
      </c>
      <c r="N135" s="1075">
        <v>0</v>
      </c>
      <c r="O135" s="1075">
        <v>0</v>
      </c>
      <c r="P135" s="1075"/>
      <c r="Q135" s="1075"/>
      <c r="R135" s="1075"/>
      <c r="S135" s="1120"/>
      <c r="T135" s="1120"/>
      <c r="U135" s="1120"/>
      <c r="V135" s="1120"/>
      <c r="W135" s="1120"/>
      <c r="X135" s="1120"/>
      <c r="Y135" s="1067">
        <f t="shared" si="145"/>
        <v>650000000</v>
      </c>
      <c r="Z135" s="1067"/>
      <c r="AA135" s="1067"/>
      <c r="AB135" s="1067"/>
      <c r="AC135" s="1067">
        <f>290000000+70000000+290000000</f>
        <v>650000000</v>
      </c>
      <c r="AD135" s="1067"/>
      <c r="AE135" s="1067"/>
      <c r="AF135" s="1067"/>
      <c r="AG135" s="1067"/>
      <c r="AH135" s="1067"/>
      <c r="AI135" s="1067"/>
      <c r="AJ135" s="1067"/>
      <c r="AK135" s="1067"/>
      <c r="AL135" s="1067"/>
      <c r="AM135" s="1067"/>
      <c r="AN135" s="1067"/>
      <c r="AO135" s="1067"/>
      <c r="AP135" s="1067"/>
      <c r="AQ135" s="1067"/>
      <c r="AR135" s="1067"/>
      <c r="AS135" s="1067"/>
      <c r="AT135" s="1089"/>
      <c r="AU135" s="1082">
        <f t="shared" si="103"/>
        <v>0</v>
      </c>
      <c r="AV135" s="1067">
        <f t="shared" si="146"/>
        <v>0</v>
      </c>
      <c r="AW135" s="1067"/>
      <c r="AX135" s="1067"/>
      <c r="AY135" s="1067"/>
      <c r="AZ135" s="1067"/>
      <c r="BA135" s="1067"/>
      <c r="BB135" s="1067"/>
      <c r="BC135" s="1067"/>
      <c r="BD135" s="1067"/>
      <c r="BE135" s="1067"/>
      <c r="BF135" s="1067"/>
      <c r="BG135" s="1067"/>
      <c r="BH135" s="1067"/>
      <c r="BI135" s="1067"/>
      <c r="BJ135" s="1067"/>
      <c r="BK135" s="1067"/>
      <c r="BL135" s="1067"/>
      <c r="BM135" s="1067"/>
      <c r="BN135" s="1067"/>
      <c r="BO135" s="1067"/>
      <c r="BP135" s="1067"/>
      <c r="BQ135" s="1082">
        <f t="shared" si="105"/>
        <v>1</v>
      </c>
      <c r="BR135" s="1067">
        <f t="shared" si="147"/>
        <v>650000000</v>
      </c>
      <c r="BS135" s="1067">
        <f t="shared" si="148"/>
        <v>0</v>
      </c>
      <c r="BT135" s="1067">
        <f t="shared" si="149"/>
        <v>0</v>
      </c>
      <c r="BU135" s="1067"/>
      <c r="BV135" s="1067">
        <f t="shared" si="150"/>
        <v>650000000</v>
      </c>
      <c r="BW135" s="1067">
        <f t="shared" si="150"/>
        <v>0</v>
      </c>
      <c r="BX135" s="1067">
        <f t="shared" si="151"/>
        <v>0</v>
      </c>
      <c r="BY135" s="1067">
        <f t="shared" si="151"/>
        <v>0</v>
      </c>
      <c r="BZ135" s="1067"/>
      <c r="CA135" s="1067">
        <f t="shared" si="152"/>
        <v>0</v>
      </c>
      <c r="CB135" s="1067">
        <f t="shared" si="152"/>
        <v>0</v>
      </c>
      <c r="CC135" s="1067">
        <f t="shared" si="152"/>
        <v>0</v>
      </c>
      <c r="CD135" s="1067">
        <f t="shared" si="152"/>
        <v>0</v>
      </c>
      <c r="CE135" s="1067">
        <f t="shared" si="152"/>
        <v>0</v>
      </c>
      <c r="CF135" s="1067">
        <f t="shared" si="152"/>
        <v>0</v>
      </c>
      <c r="CG135" s="1067">
        <f t="shared" si="152"/>
        <v>0</v>
      </c>
      <c r="CH135" s="1067">
        <f t="shared" si="152"/>
        <v>0</v>
      </c>
      <c r="CI135" s="1067">
        <f t="shared" si="152"/>
        <v>0</v>
      </c>
      <c r="CJ135" s="1067"/>
      <c r="CK135" s="1067"/>
      <c r="CL135" s="1067">
        <f t="shared" si="153"/>
        <v>0</v>
      </c>
      <c r="CM135" s="1082">
        <f t="shared" si="113"/>
        <v>0</v>
      </c>
      <c r="CN135" s="1067">
        <f t="shared" si="154"/>
        <v>0</v>
      </c>
      <c r="CO135" s="1067"/>
      <c r="CP135" s="1067"/>
      <c r="CQ135" s="1067"/>
      <c r="CR135" s="1067"/>
      <c r="CS135" s="1067"/>
      <c r="CT135" s="1067"/>
      <c r="CU135" s="1067"/>
      <c r="CV135" s="1067"/>
      <c r="CW135" s="1067"/>
      <c r="CX135" s="1067"/>
      <c r="CY135" s="1067"/>
      <c r="CZ135" s="1067"/>
      <c r="DA135" s="1067"/>
      <c r="DB135" s="1067"/>
      <c r="DC135" s="1067"/>
      <c r="DD135" s="1067"/>
      <c r="DE135" s="1067"/>
      <c r="DF135" s="1067"/>
      <c r="DG135" s="1067"/>
      <c r="DH135" s="1067"/>
      <c r="DI135" s="1082">
        <f t="shared" si="115"/>
        <v>1</v>
      </c>
      <c r="DJ135" s="1067">
        <f t="shared" si="155"/>
        <v>650000000</v>
      </c>
      <c r="DK135" s="1067"/>
      <c r="DL135" s="1067"/>
      <c r="DM135" s="1067"/>
      <c r="DN135" s="1067">
        <f t="shared" si="156"/>
        <v>650000000</v>
      </c>
      <c r="DO135" s="1067">
        <f t="shared" si="156"/>
        <v>0</v>
      </c>
      <c r="DP135" s="1067">
        <f t="shared" si="156"/>
        <v>0</v>
      </c>
      <c r="DQ135" s="1067">
        <f t="shared" si="156"/>
        <v>0</v>
      </c>
      <c r="DR135" s="1067"/>
      <c r="DS135" s="1067">
        <f t="shared" si="157"/>
        <v>0</v>
      </c>
      <c r="DT135" s="1067">
        <f t="shared" si="157"/>
        <v>0</v>
      </c>
      <c r="DU135" s="1067"/>
      <c r="DV135" s="1067">
        <f t="shared" si="158"/>
        <v>0</v>
      </c>
      <c r="DW135" s="1067">
        <f t="shared" si="158"/>
        <v>0</v>
      </c>
      <c r="DX135" s="1067">
        <f t="shared" si="158"/>
        <v>0</v>
      </c>
      <c r="DY135" s="1067">
        <f t="shared" si="159"/>
        <v>0</v>
      </c>
      <c r="DZ135" s="1067">
        <f t="shared" si="159"/>
        <v>0</v>
      </c>
      <c r="EA135" s="1067">
        <f t="shared" si="159"/>
        <v>0</v>
      </c>
      <c r="EB135" s="1067">
        <f t="shared" si="159"/>
        <v>0</v>
      </c>
      <c r="EC135" s="1067"/>
      <c r="ED135" s="1067">
        <f t="shared" si="160"/>
        <v>0</v>
      </c>
    </row>
    <row r="136" spans="1:136" ht="45.75" hidden="1" customHeight="1" x14ac:dyDescent="0.25">
      <c r="A136" s="1560"/>
      <c r="B136" s="989"/>
      <c r="C136" s="1635" t="s">
        <v>4490</v>
      </c>
      <c r="D136" s="1019" t="s">
        <v>4473</v>
      </c>
      <c r="E136" s="994">
        <v>111</v>
      </c>
      <c r="F136" s="1120" t="s">
        <v>4482</v>
      </c>
      <c r="G136" s="1400"/>
      <c r="H136" s="1061">
        <f t="shared" si="143"/>
        <v>0</v>
      </c>
      <c r="I136" s="1061">
        <f t="shared" si="144"/>
        <v>938075763</v>
      </c>
      <c r="J136" s="1120">
        <v>1273</v>
      </c>
      <c r="K136" s="1115">
        <v>1832</v>
      </c>
      <c r="L136" s="1115">
        <v>1332</v>
      </c>
      <c r="M136" s="1115">
        <v>0</v>
      </c>
      <c r="N136" s="1115">
        <v>0</v>
      </c>
      <c r="O136" s="1115">
        <v>0</v>
      </c>
      <c r="P136" s="1115">
        <v>0</v>
      </c>
      <c r="Q136" s="1115">
        <v>0</v>
      </c>
      <c r="R136" s="1115">
        <v>0</v>
      </c>
      <c r="S136" s="1120"/>
      <c r="T136" s="1120"/>
      <c r="U136" s="1120"/>
      <c r="V136" s="1120"/>
      <c r="W136" s="1120"/>
      <c r="X136" s="1120"/>
      <c r="Y136" s="1008">
        <f t="shared" si="145"/>
        <v>938075763</v>
      </c>
      <c r="Z136" s="1008"/>
      <c r="AA136" s="1008"/>
      <c r="AB136" s="1008"/>
      <c r="AC136" s="1008">
        <f>699600000+99000000+80000000</f>
        <v>878600000</v>
      </c>
      <c r="AD136" s="1008"/>
      <c r="AE136" s="1008"/>
      <c r="AF136" s="1008"/>
      <c r="AG136" s="1008"/>
      <c r="AH136" s="1008"/>
      <c r="AI136" s="1008">
        <v>1940856</v>
      </c>
      <c r="AJ136" s="1008">
        <v>3438802</v>
      </c>
      <c r="AK136" s="1008">
        <v>54096105</v>
      </c>
      <c r="AL136" s="1008"/>
      <c r="AM136" s="1008"/>
      <c r="AN136" s="1008"/>
      <c r="AO136" s="1008"/>
      <c r="AP136" s="1008"/>
      <c r="AQ136" s="1008"/>
      <c r="AR136" s="1008"/>
      <c r="AS136" s="1008"/>
      <c r="AT136" s="984"/>
      <c r="AU136" s="1011">
        <f t="shared" si="103"/>
        <v>0.95577229085706583</v>
      </c>
      <c r="AV136" s="1008">
        <f t="shared" si="146"/>
        <v>896586821</v>
      </c>
      <c r="AW136" s="1008"/>
      <c r="AX136" s="1008"/>
      <c r="AY136" s="1008"/>
      <c r="AZ136" s="1008">
        <f>+'[18]OCTUBRE 2015'!$M$65</f>
        <v>878600000</v>
      </c>
      <c r="BA136" s="1008"/>
      <c r="BB136" s="1008"/>
      <c r="BC136" s="1008"/>
      <c r="BD136" s="1008"/>
      <c r="BE136" s="1008"/>
      <c r="BF136" s="1008"/>
      <c r="BG136" s="1008"/>
      <c r="BH136" s="1008">
        <f>+'[18]OCTUBRE 2015'!$U$65</f>
        <v>17986821</v>
      </c>
      <c r="BI136" s="1008"/>
      <c r="BJ136" s="1008"/>
      <c r="BK136" s="1008"/>
      <c r="BL136" s="1008"/>
      <c r="BM136" s="1008"/>
      <c r="BN136" s="1008"/>
      <c r="BO136" s="1008"/>
      <c r="BP136" s="1008"/>
      <c r="BQ136" s="1011">
        <f t="shared" si="105"/>
        <v>4.4227709142934168E-2</v>
      </c>
      <c r="BR136" s="1008">
        <f t="shared" si="147"/>
        <v>41488942</v>
      </c>
      <c r="BS136" s="1008">
        <f t="shared" si="148"/>
        <v>0</v>
      </c>
      <c r="BT136" s="1008">
        <f t="shared" si="149"/>
        <v>0</v>
      </c>
      <c r="BU136" s="1008"/>
      <c r="BV136" s="1008">
        <f t="shared" si="150"/>
        <v>0</v>
      </c>
      <c r="BW136" s="1008">
        <f t="shared" si="150"/>
        <v>0</v>
      </c>
      <c r="BX136" s="1008">
        <f t="shared" si="151"/>
        <v>0</v>
      </c>
      <c r="BY136" s="1008">
        <f t="shared" si="151"/>
        <v>0</v>
      </c>
      <c r="BZ136" s="1008"/>
      <c r="CA136" s="1008">
        <f t="shared" si="152"/>
        <v>0</v>
      </c>
      <c r="CB136" s="1008">
        <f t="shared" si="152"/>
        <v>1940856</v>
      </c>
      <c r="CC136" s="1008">
        <f t="shared" si="152"/>
        <v>3438802</v>
      </c>
      <c r="CD136" s="1008">
        <f t="shared" si="152"/>
        <v>36109284</v>
      </c>
      <c r="CE136" s="1008">
        <f t="shared" si="152"/>
        <v>0</v>
      </c>
      <c r="CF136" s="1008">
        <f t="shared" si="152"/>
        <v>0</v>
      </c>
      <c r="CG136" s="1008">
        <f t="shared" si="152"/>
        <v>0</v>
      </c>
      <c r="CH136" s="1008">
        <f t="shared" si="152"/>
        <v>0</v>
      </c>
      <c r="CI136" s="1008">
        <f t="shared" si="152"/>
        <v>0</v>
      </c>
      <c r="CJ136" s="1008">
        <f>+AQ136-BN136</f>
        <v>0</v>
      </c>
      <c r="CK136" s="1008">
        <f>+AR136-BO136</f>
        <v>0</v>
      </c>
      <c r="CL136" s="1008">
        <f t="shared" si="153"/>
        <v>0</v>
      </c>
      <c r="CM136" s="1011">
        <f t="shared" si="113"/>
        <v>0</v>
      </c>
      <c r="CN136" s="1008">
        <f t="shared" si="154"/>
        <v>0</v>
      </c>
      <c r="CO136" s="1008"/>
      <c r="CP136" s="1008"/>
      <c r="CQ136" s="1008"/>
      <c r="CR136" s="1008"/>
      <c r="CS136" s="1008"/>
      <c r="CT136" s="1008"/>
      <c r="CU136" s="1008"/>
      <c r="CV136" s="1008"/>
      <c r="CW136" s="1008"/>
      <c r="CX136" s="1008"/>
      <c r="CY136" s="1008"/>
      <c r="CZ136" s="1008"/>
      <c r="DA136" s="1008"/>
      <c r="DB136" s="1008"/>
      <c r="DC136" s="1008"/>
      <c r="DD136" s="1008"/>
      <c r="DE136" s="1008"/>
      <c r="DF136" s="1008"/>
      <c r="DG136" s="1008"/>
      <c r="DH136" s="1008"/>
      <c r="DI136" s="1011">
        <f t="shared" si="115"/>
        <v>1</v>
      </c>
      <c r="DJ136" s="1008">
        <f t="shared" si="155"/>
        <v>938075763</v>
      </c>
      <c r="DK136" s="1008"/>
      <c r="DL136" s="1008"/>
      <c r="DM136" s="1008"/>
      <c r="DN136" s="1008">
        <f t="shared" si="156"/>
        <v>878600000</v>
      </c>
      <c r="DO136" s="1008">
        <f t="shared" si="156"/>
        <v>0</v>
      </c>
      <c r="DP136" s="1008">
        <f t="shared" si="156"/>
        <v>0</v>
      </c>
      <c r="DQ136" s="1008">
        <f t="shared" si="156"/>
        <v>0</v>
      </c>
      <c r="DR136" s="1008"/>
      <c r="DS136" s="1008">
        <f t="shared" si="157"/>
        <v>0</v>
      </c>
      <c r="DT136" s="1008">
        <f t="shared" si="157"/>
        <v>1940856</v>
      </c>
      <c r="DU136" s="1008">
        <f>+AJ136-CY136</f>
        <v>3438802</v>
      </c>
      <c r="DV136" s="1008">
        <f t="shared" si="158"/>
        <v>54096105</v>
      </c>
      <c r="DW136" s="1008">
        <f t="shared" si="158"/>
        <v>0</v>
      </c>
      <c r="DX136" s="1008">
        <f t="shared" si="158"/>
        <v>0</v>
      </c>
      <c r="DY136" s="1008">
        <f t="shared" si="159"/>
        <v>0</v>
      </c>
      <c r="DZ136" s="1008">
        <f t="shared" si="159"/>
        <v>0</v>
      </c>
      <c r="EA136" s="1008">
        <f t="shared" si="159"/>
        <v>0</v>
      </c>
      <c r="EB136" s="1008">
        <f t="shared" si="159"/>
        <v>0</v>
      </c>
      <c r="EC136" s="1008"/>
      <c r="ED136" s="1008">
        <f t="shared" si="160"/>
        <v>0</v>
      </c>
    </row>
    <row r="137" spans="1:136" ht="33.75" hidden="1" customHeight="1" x14ac:dyDescent="0.25">
      <c r="A137" s="1560"/>
      <c r="B137" s="989"/>
      <c r="C137" s="1635" t="s">
        <v>4491</v>
      </c>
      <c r="D137" s="1019" t="s">
        <v>4474</v>
      </c>
      <c r="E137" s="994">
        <v>111</v>
      </c>
      <c r="F137" s="1120" t="s">
        <v>4482</v>
      </c>
      <c r="G137" s="1400"/>
      <c r="H137" s="1061">
        <f t="shared" si="143"/>
        <v>0</v>
      </c>
      <c r="I137" s="1061">
        <f t="shared" si="144"/>
        <v>233200000</v>
      </c>
      <c r="J137" s="1120">
        <v>60</v>
      </c>
      <c r="K137" s="1115">
        <v>80</v>
      </c>
      <c r="L137" s="1115">
        <v>62</v>
      </c>
      <c r="M137" s="1115">
        <v>0</v>
      </c>
      <c r="N137" s="1115">
        <v>0</v>
      </c>
      <c r="O137" s="1115">
        <v>0</v>
      </c>
      <c r="P137" s="1115">
        <v>0</v>
      </c>
      <c r="Q137" s="1115">
        <v>0</v>
      </c>
      <c r="R137" s="1115">
        <v>0</v>
      </c>
      <c r="S137" s="1120"/>
      <c r="T137" s="1120"/>
      <c r="U137" s="1120"/>
      <c r="V137" s="1120"/>
      <c r="W137" s="1120"/>
      <c r="X137" s="1120"/>
      <c r="Y137" s="1008">
        <f t="shared" si="145"/>
        <v>233200000</v>
      </c>
      <c r="Z137" s="1008"/>
      <c r="AA137" s="1008"/>
      <c r="AB137" s="1008"/>
      <c r="AC137" s="1008">
        <v>233200000</v>
      </c>
      <c r="AD137" s="1008"/>
      <c r="AE137" s="1008"/>
      <c r="AF137" s="1008"/>
      <c r="AG137" s="1008"/>
      <c r="AH137" s="1008"/>
      <c r="AI137" s="1008"/>
      <c r="AJ137" s="1008"/>
      <c r="AK137" s="1008"/>
      <c r="AL137" s="1008"/>
      <c r="AM137" s="1008"/>
      <c r="AN137" s="1008"/>
      <c r="AO137" s="1008"/>
      <c r="AP137" s="1008"/>
      <c r="AQ137" s="1008"/>
      <c r="AR137" s="1008"/>
      <c r="AS137" s="1008"/>
      <c r="AT137" s="984"/>
      <c r="AU137" s="1011">
        <f t="shared" si="103"/>
        <v>0.99745449828473409</v>
      </c>
      <c r="AV137" s="1008">
        <f t="shared" si="146"/>
        <v>232606389</v>
      </c>
      <c r="AW137" s="1008"/>
      <c r="AX137" s="1008"/>
      <c r="AY137" s="1008"/>
      <c r="AZ137" s="1008">
        <f>+'[18]OCTUBRE 2015'!$M$73</f>
        <v>232606389</v>
      </c>
      <c r="BA137" s="1008"/>
      <c r="BB137" s="1008"/>
      <c r="BC137" s="1008"/>
      <c r="BD137" s="1008"/>
      <c r="BE137" s="1008"/>
      <c r="BF137" s="1008"/>
      <c r="BG137" s="1008"/>
      <c r="BH137" s="1008"/>
      <c r="BI137" s="1008"/>
      <c r="BJ137" s="1008"/>
      <c r="BK137" s="1008"/>
      <c r="BL137" s="1008"/>
      <c r="BM137" s="1008"/>
      <c r="BN137" s="1008"/>
      <c r="BO137" s="1008"/>
      <c r="BP137" s="1008"/>
      <c r="BQ137" s="1011">
        <f t="shared" si="105"/>
        <v>2.5455017152659076E-3</v>
      </c>
      <c r="BR137" s="1008">
        <f t="shared" si="147"/>
        <v>593611</v>
      </c>
      <c r="BS137" s="1008">
        <f t="shared" si="148"/>
        <v>0</v>
      </c>
      <c r="BT137" s="1008">
        <f t="shared" si="149"/>
        <v>0</v>
      </c>
      <c r="BU137" s="1008"/>
      <c r="BV137" s="1008">
        <f t="shared" si="150"/>
        <v>593611</v>
      </c>
      <c r="BW137" s="1008">
        <f t="shared" si="150"/>
        <v>0</v>
      </c>
      <c r="BX137" s="1008">
        <f t="shared" si="151"/>
        <v>0</v>
      </c>
      <c r="BY137" s="1008">
        <f t="shared" si="151"/>
        <v>0</v>
      </c>
      <c r="BZ137" s="1008"/>
      <c r="CA137" s="1008">
        <f t="shared" si="152"/>
        <v>0</v>
      </c>
      <c r="CB137" s="1008">
        <f t="shared" si="152"/>
        <v>0</v>
      </c>
      <c r="CC137" s="1008">
        <f t="shared" si="152"/>
        <v>0</v>
      </c>
      <c r="CD137" s="1008">
        <f t="shared" si="152"/>
        <v>0</v>
      </c>
      <c r="CE137" s="1008">
        <f t="shared" si="152"/>
        <v>0</v>
      </c>
      <c r="CF137" s="1008">
        <f t="shared" si="152"/>
        <v>0</v>
      </c>
      <c r="CG137" s="1008">
        <f t="shared" si="152"/>
        <v>0</v>
      </c>
      <c r="CH137" s="1008">
        <f t="shared" si="152"/>
        <v>0</v>
      </c>
      <c r="CI137" s="1008">
        <f t="shared" si="152"/>
        <v>0</v>
      </c>
      <c r="CJ137" s="1008"/>
      <c r="CK137" s="1008">
        <f t="shared" ref="CK137:CK149" si="161">+AR137-BO137</f>
        <v>0</v>
      </c>
      <c r="CL137" s="1008">
        <f t="shared" si="153"/>
        <v>0</v>
      </c>
      <c r="CM137" s="1011">
        <f t="shared" si="113"/>
        <v>0</v>
      </c>
      <c r="CN137" s="1008">
        <f t="shared" si="154"/>
        <v>0</v>
      </c>
      <c r="CO137" s="1008"/>
      <c r="CP137" s="1008"/>
      <c r="CQ137" s="1008"/>
      <c r="CR137" s="1008"/>
      <c r="CS137" s="1008"/>
      <c r="CT137" s="1008"/>
      <c r="CU137" s="1008"/>
      <c r="CV137" s="1008"/>
      <c r="CW137" s="1008"/>
      <c r="CX137" s="1008"/>
      <c r="CY137" s="1008"/>
      <c r="CZ137" s="1008"/>
      <c r="DA137" s="1008"/>
      <c r="DB137" s="1008"/>
      <c r="DC137" s="1008"/>
      <c r="DD137" s="1008"/>
      <c r="DE137" s="1008"/>
      <c r="DF137" s="1008"/>
      <c r="DG137" s="1008"/>
      <c r="DH137" s="1008"/>
      <c r="DI137" s="1011">
        <f t="shared" si="115"/>
        <v>1</v>
      </c>
      <c r="DJ137" s="1008">
        <f t="shared" si="155"/>
        <v>233200000</v>
      </c>
      <c r="DK137" s="1008"/>
      <c r="DL137" s="1008"/>
      <c r="DM137" s="1008"/>
      <c r="DN137" s="1008">
        <f t="shared" si="156"/>
        <v>233200000</v>
      </c>
      <c r="DO137" s="1008">
        <f t="shared" si="156"/>
        <v>0</v>
      </c>
      <c r="DP137" s="1008">
        <f t="shared" si="156"/>
        <v>0</v>
      </c>
      <c r="DQ137" s="1008">
        <f t="shared" si="156"/>
        <v>0</v>
      </c>
      <c r="DR137" s="1008"/>
      <c r="DS137" s="1008">
        <f t="shared" si="157"/>
        <v>0</v>
      </c>
      <c r="DT137" s="1008">
        <f t="shared" si="157"/>
        <v>0</v>
      </c>
      <c r="DU137" s="1008">
        <f>+AJ137-CY137</f>
        <v>0</v>
      </c>
      <c r="DV137" s="1008">
        <f t="shared" si="158"/>
        <v>0</v>
      </c>
      <c r="DW137" s="1008">
        <f t="shared" si="158"/>
        <v>0</v>
      </c>
      <c r="DX137" s="1008">
        <f t="shared" si="158"/>
        <v>0</v>
      </c>
      <c r="DY137" s="1008">
        <f t="shared" si="159"/>
        <v>0</v>
      </c>
      <c r="DZ137" s="1008">
        <f t="shared" si="159"/>
        <v>0</v>
      </c>
      <c r="EA137" s="1008">
        <f t="shared" si="159"/>
        <v>0</v>
      </c>
      <c r="EB137" s="1008">
        <f t="shared" si="159"/>
        <v>0</v>
      </c>
      <c r="EC137" s="1008"/>
      <c r="ED137" s="1008">
        <f t="shared" si="160"/>
        <v>0</v>
      </c>
    </row>
    <row r="138" spans="1:136" ht="52.5" hidden="1" customHeight="1" x14ac:dyDescent="0.25">
      <c r="A138" s="1560"/>
      <c r="B138" s="989"/>
      <c r="C138" s="1635" t="s">
        <v>4492</v>
      </c>
      <c r="D138" s="1019" t="s">
        <v>4475</v>
      </c>
      <c r="E138" s="994">
        <v>111</v>
      </c>
      <c r="F138" s="1120" t="s">
        <v>4482</v>
      </c>
      <c r="G138" s="1400"/>
      <c r="H138" s="1061">
        <f t="shared" si="143"/>
        <v>0</v>
      </c>
      <c r="I138" s="1061">
        <f t="shared" si="144"/>
        <v>300000000</v>
      </c>
      <c r="J138" s="1270">
        <v>206</v>
      </c>
      <c r="K138" s="1305">
        <v>448</v>
      </c>
      <c r="L138" s="1305">
        <v>230</v>
      </c>
      <c r="M138" s="1115">
        <v>0</v>
      </c>
      <c r="N138" s="1115">
        <v>0</v>
      </c>
      <c r="O138" s="1115">
        <v>0</v>
      </c>
      <c r="P138" s="1115">
        <v>0</v>
      </c>
      <c r="Q138" s="1115">
        <v>0</v>
      </c>
      <c r="R138" s="1115">
        <v>0</v>
      </c>
      <c r="S138" s="1120"/>
      <c r="T138" s="1120"/>
      <c r="U138" s="1120"/>
      <c r="V138" s="1120"/>
      <c r="W138" s="1120"/>
      <c r="X138" s="1120"/>
      <c r="Y138" s="1008">
        <f t="shared" si="145"/>
        <v>300000000</v>
      </c>
      <c r="Z138" s="1008"/>
      <c r="AA138" s="1008"/>
      <c r="AB138" s="1008"/>
      <c r="AC138" s="1008">
        <f>114715796+100000000-12000000</f>
        <v>202715796</v>
      </c>
      <c r="AD138" s="1008"/>
      <c r="AE138" s="1008"/>
      <c r="AF138" s="1008"/>
      <c r="AG138" s="1008"/>
      <c r="AH138" s="1008"/>
      <c r="AI138" s="1008"/>
      <c r="AJ138" s="1008"/>
      <c r="AK138" s="1008">
        <v>97284204</v>
      </c>
      <c r="AL138" s="1008"/>
      <c r="AM138" s="1008"/>
      <c r="AN138" s="1008"/>
      <c r="AO138" s="1008"/>
      <c r="AP138" s="1008"/>
      <c r="AQ138" s="1008"/>
      <c r="AR138" s="1008"/>
      <c r="AS138" s="1008"/>
      <c r="AT138" s="984"/>
      <c r="AU138" s="1011">
        <f t="shared" si="103"/>
        <v>0.97304108333333328</v>
      </c>
      <c r="AV138" s="1008">
        <f t="shared" si="146"/>
        <v>291912325</v>
      </c>
      <c r="AW138" s="1008"/>
      <c r="AX138" s="1008"/>
      <c r="AY138" s="1008"/>
      <c r="AZ138" s="1008">
        <f>+'[18]OCTUBRE 2015'!$M$79</f>
        <v>194628121</v>
      </c>
      <c r="BA138" s="1008"/>
      <c r="BB138" s="1008"/>
      <c r="BC138" s="1008"/>
      <c r="BD138" s="1008"/>
      <c r="BE138" s="1008"/>
      <c r="BF138" s="1008"/>
      <c r="BG138" s="1008"/>
      <c r="BH138" s="1008">
        <f>+'[18]OCTUBRE 2015'!$U$79</f>
        <v>97284204</v>
      </c>
      <c r="BI138" s="1008"/>
      <c r="BJ138" s="1008"/>
      <c r="BK138" s="1008"/>
      <c r="BL138" s="1008"/>
      <c r="BM138" s="1008"/>
      <c r="BN138" s="1008"/>
      <c r="BO138" s="1008"/>
      <c r="BP138" s="1008"/>
      <c r="BQ138" s="1011">
        <f t="shared" si="105"/>
        <v>2.6958916666666721E-2</v>
      </c>
      <c r="BR138" s="1008">
        <f t="shared" si="147"/>
        <v>8087675</v>
      </c>
      <c r="BS138" s="1008">
        <f t="shared" si="148"/>
        <v>0</v>
      </c>
      <c r="BT138" s="1008">
        <f t="shared" si="149"/>
        <v>0</v>
      </c>
      <c r="BU138" s="1008"/>
      <c r="BV138" s="1008">
        <f t="shared" si="150"/>
        <v>8087675</v>
      </c>
      <c r="BW138" s="1008">
        <f t="shared" si="150"/>
        <v>0</v>
      </c>
      <c r="BX138" s="1008">
        <f t="shared" si="151"/>
        <v>0</v>
      </c>
      <c r="BY138" s="1008">
        <f t="shared" si="151"/>
        <v>0</v>
      </c>
      <c r="BZ138" s="1008"/>
      <c r="CA138" s="1008">
        <f t="shared" si="152"/>
        <v>0</v>
      </c>
      <c r="CB138" s="1008">
        <f t="shared" si="152"/>
        <v>0</v>
      </c>
      <c r="CC138" s="1008">
        <f t="shared" si="152"/>
        <v>0</v>
      </c>
      <c r="CD138" s="1008">
        <f t="shared" si="152"/>
        <v>0</v>
      </c>
      <c r="CE138" s="1008">
        <f t="shared" si="152"/>
        <v>0</v>
      </c>
      <c r="CF138" s="1008">
        <f t="shared" si="152"/>
        <v>0</v>
      </c>
      <c r="CG138" s="1008">
        <f t="shared" si="152"/>
        <v>0</v>
      </c>
      <c r="CH138" s="1008">
        <f t="shared" si="152"/>
        <v>0</v>
      </c>
      <c r="CI138" s="1008">
        <f t="shared" si="152"/>
        <v>0</v>
      </c>
      <c r="CJ138" s="1008"/>
      <c r="CK138" s="1008">
        <f t="shared" si="161"/>
        <v>0</v>
      </c>
      <c r="CL138" s="1008">
        <f t="shared" si="153"/>
        <v>0</v>
      </c>
      <c r="CM138" s="1011">
        <f t="shared" si="113"/>
        <v>0</v>
      </c>
      <c r="CN138" s="1008">
        <f t="shared" si="154"/>
        <v>0</v>
      </c>
      <c r="CO138" s="1008"/>
      <c r="CP138" s="1008"/>
      <c r="CQ138" s="1008"/>
      <c r="CR138" s="1008"/>
      <c r="CS138" s="1008"/>
      <c r="CT138" s="1008"/>
      <c r="CU138" s="1008"/>
      <c r="CV138" s="1008"/>
      <c r="CW138" s="1008"/>
      <c r="CX138" s="1008"/>
      <c r="CY138" s="1008"/>
      <c r="CZ138" s="1008"/>
      <c r="DA138" s="1008"/>
      <c r="DB138" s="1008"/>
      <c r="DC138" s="1008"/>
      <c r="DD138" s="1008"/>
      <c r="DE138" s="1008"/>
      <c r="DF138" s="1008"/>
      <c r="DG138" s="1008"/>
      <c r="DH138" s="1008"/>
      <c r="DI138" s="1011">
        <f t="shared" si="115"/>
        <v>1</v>
      </c>
      <c r="DJ138" s="1008">
        <f t="shared" si="155"/>
        <v>300000000</v>
      </c>
      <c r="DK138" s="1008"/>
      <c r="DL138" s="1008"/>
      <c r="DM138" s="1008"/>
      <c r="DN138" s="1008">
        <f t="shared" si="156"/>
        <v>202715796</v>
      </c>
      <c r="DO138" s="1008">
        <f t="shared" si="156"/>
        <v>0</v>
      </c>
      <c r="DP138" s="1008">
        <f t="shared" si="156"/>
        <v>0</v>
      </c>
      <c r="DQ138" s="1008">
        <f t="shared" si="156"/>
        <v>0</v>
      </c>
      <c r="DR138" s="1008"/>
      <c r="DS138" s="1008">
        <f t="shared" si="157"/>
        <v>0</v>
      </c>
      <c r="DT138" s="1008">
        <f t="shared" si="157"/>
        <v>0</v>
      </c>
      <c r="DU138" s="1008"/>
      <c r="DV138" s="1008">
        <f t="shared" si="158"/>
        <v>97284204</v>
      </c>
      <c r="DW138" s="1008">
        <f t="shared" si="158"/>
        <v>0</v>
      </c>
      <c r="DX138" s="1008">
        <f t="shared" si="158"/>
        <v>0</v>
      </c>
      <c r="DY138" s="1008">
        <f t="shared" si="159"/>
        <v>0</v>
      </c>
      <c r="DZ138" s="1008">
        <f t="shared" si="159"/>
        <v>0</v>
      </c>
      <c r="EA138" s="1008">
        <f t="shared" si="159"/>
        <v>0</v>
      </c>
      <c r="EB138" s="1008">
        <f t="shared" si="159"/>
        <v>0</v>
      </c>
      <c r="EC138" s="1008"/>
      <c r="ED138" s="1008">
        <f t="shared" si="160"/>
        <v>0</v>
      </c>
    </row>
    <row r="139" spans="1:136" ht="32.25" hidden="1" customHeight="1" x14ac:dyDescent="0.25">
      <c r="A139" s="1560"/>
      <c r="B139" s="989"/>
      <c r="C139" s="1635" t="s">
        <v>4493</v>
      </c>
      <c r="D139" s="1019" t="s">
        <v>4476</v>
      </c>
      <c r="E139" s="994">
        <v>111</v>
      </c>
      <c r="F139" s="1120" t="s">
        <v>4482</v>
      </c>
      <c r="G139" s="1400"/>
      <c r="H139" s="1061">
        <f t="shared" si="143"/>
        <v>0</v>
      </c>
      <c r="I139" s="1061">
        <f t="shared" si="144"/>
        <v>35000000</v>
      </c>
      <c r="J139" s="1270"/>
      <c r="K139" s="1305"/>
      <c r="L139" s="1305"/>
      <c r="M139" s="1115">
        <v>0</v>
      </c>
      <c r="N139" s="1115">
        <v>0</v>
      </c>
      <c r="O139" s="1115">
        <v>0</v>
      </c>
      <c r="P139" s="1115">
        <v>0</v>
      </c>
      <c r="Q139" s="1115">
        <v>0</v>
      </c>
      <c r="R139" s="1115">
        <v>0</v>
      </c>
      <c r="S139" s="1120"/>
      <c r="T139" s="1120"/>
      <c r="U139" s="1120"/>
      <c r="V139" s="1120"/>
      <c r="W139" s="1120"/>
      <c r="X139" s="1120"/>
      <c r="Y139" s="1008">
        <f t="shared" si="145"/>
        <v>35000000</v>
      </c>
      <c r="Z139" s="1008"/>
      <c r="AA139" s="1008"/>
      <c r="AB139" s="1008"/>
      <c r="AC139" s="1008">
        <f>71000000-71000000</f>
        <v>0</v>
      </c>
      <c r="AD139" s="1008"/>
      <c r="AE139" s="1008"/>
      <c r="AF139" s="1008"/>
      <c r="AG139" s="1008"/>
      <c r="AH139" s="1008"/>
      <c r="AI139" s="1008"/>
      <c r="AJ139" s="1008"/>
      <c r="AK139" s="1008">
        <v>35000000</v>
      </c>
      <c r="AL139" s="1008"/>
      <c r="AM139" s="1008"/>
      <c r="AN139" s="1008"/>
      <c r="AO139" s="1008"/>
      <c r="AP139" s="1008"/>
      <c r="AQ139" s="1008"/>
      <c r="AR139" s="1008"/>
      <c r="AS139" s="1008"/>
      <c r="AT139" s="984"/>
      <c r="AU139" s="1011">
        <f t="shared" si="103"/>
        <v>0</v>
      </c>
      <c r="AV139" s="1008">
        <f t="shared" si="146"/>
        <v>0</v>
      </c>
      <c r="AW139" s="1008"/>
      <c r="AX139" s="1008"/>
      <c r="AY139" s="1008"/>
      <c r="AZ139" s="1008"/>
      <c r="BA139" s="1008"/>
      <c r="BB139" s="1008"/>
      <c r="BC139" s="1008"/>
      <c r="BD139" s="1008"/>
      <c r="BE139" s="1008"/>
      <c r="BF139" s="1008"/>
      <c r="BG139" s="1008"/>
      <c r="BH139" s="1008"/>
      <c r="BI139" s="1008"/>
      <c r="BJ139" s="1008"/>
      <c r="BK139" s="1008"/>
      <c r="BL139" s="1008"/>
      <c r="BM139" s="1008"/>
      <c r="BN139" s="1008"/>
      <c r="BO139" s="1008"/>
      <c r="BP139" s="1008"/>
      <c r="BQ139" s="1011">
        <f t="shared" si="105"/>
        <v>1</v>
      </c>
      <c r="BR139" s="1008">
        <f t="shared" si="147"/>
        <v>35000000</v>
      </c>
      <c r="BS139" s="1008">
        <f t="shared" si="148"/>
        <v>0</v>
      </c>
      <c r="BT139" s="1008">
        <f t="shared" si="149"/>
        <v>0</v>
      </c>
      <c r="BU139" s="1008"/>
      <c r="BV139" s="1008">
        <f t="shared" si="150"/>
        <v>0</v>
      </c>
      <c r="BW139" s="1008">
        <f t="shared" si="150"/>
        <v>0</v>
      </c>
      <c r="BX139" s="1008">
        <f t="shared" si="151"/>
        <v>0</v>
      </c>
      <c r="BY139" s="1008">
        <f t="shared" si="151"/>
        <v>0</v>
      </c>
      <c r="BZ139" s="1008"/>
      <c r="CA139" s="1008">
        <f t="shared" si="152"/>
        <v>0</v>
      </c>
      <c r="CB139" s="1008">
        <f t="shared" si="152"/>
        <v>0</v>
      </c>
      <c r="CC139" s="1008">
        <f t="shared" si="152"/>
        <v>0</v>
      </c>
      <c r="CD139" s="1008">
        <f t="shared" si="152"/>
        <v>35000000</v>
      </c>
      <c r="CE139" s="1008">
        <f t="shared" si="152"/>
        <v>0</v>
      </c>
      <c r="CF139" s="1008">
        <f t="shared" si="152"/>
        <v>0</v>
      </c>
      <c r="CG139" s="1008">
        <f t="shared" si="152"/>
        <v>0</v>
      </c>
      <c r="CH139" s="1008">
        <f t="shared" si="152"/>
        <v>0</v>
      </c>
      <c r="CI139" s="1008">
        <f t="shared" si="152"/>
        <v>0</v>
      </c>
      <c r="CJ139" s="1008"/>
      <c r="CK139" s="1008">
        <f t="shared" si="161"/>
        <v>0</v>
      </c>
      <c r="CL139" s="1008">
        <f t="shared" si="153"/>
        <v>0</v>
      </c>
      <c r="CM139" s="1011">
        <f t="shared" si="113"/>
        <v>0</v>
      </c>
      <c r="CN139" s="1008">
        <f t="shared" si="154"/>
        <v>0</v>
      </c>
      <c r="CO139" s="1008"/>
      <c r="CP139" s="1008"/>
      <c r="CQ139" s="1008"/>
      <c r="CR139" s="1008"/>
      <c r="CS139" s="1008"/>
      <c r="CT139" s="1008"/>
      <c r="CU139" s="1008"/>
      <c r="CV139" s="1008"/>
      <c r="CW139" s="1008"/>
      <c r="CX139" s="1008"/>
      <c r="CY139" s="1008"/>
      <c r="CZ139" s="1008"/>
      <c r="DA139" s="1008"/>
      <c r="DB139" s="1008"/>
      <c r="DC139" s="1008"/>
      <c r="DD139" s="1008"/>
      <c r="DE139" s="1008"/>
      <c r="DF139" s="1008"/>
      <c r="DG139" s="1008"/>
      <c r="DH139" s="1008"/>
      <c r="DI139" s="1011">
        <f t="shared" si="115"/>
        <v>1</v>
      </c>
      <c r="DJ139" s="1008">
        <f t="shared" si="155"/>
        <v>35000000</v>
      </c>
      <c r="DK139" s="1008"/>
      <c r="DL139" s="1008"/>
      <c r="DM139" s="1008"/>
      <c r="DN139" s="1008">
        <f t="shared" si="156"/>
        <v>0</v>
      </c>
      <c r="DO139" s="1008">
        <f t="shared" si="156"/>
        <v>0</v>
      </c>
      <c r="DP139" s="1008">
        <f t="shared" si="156"/>
        <v>0</v>
      </c>
      <c r="DQ139" s="1008">
        <f t="shared" si="156"/>
        <v>0</v>
      </c>
      <c r="DR139" s="1008"/>
      <c r="DS139" s="1008">
        <f t="shared" si="157"/>
        <v>0</v>
      </c>
      <c r="DT139" s="1008">
        <f t="shared" si="157"/>
        <v>0</v>
      </c>
      <c r="DU139" s="1008"/>
      <c r="DV139" s="1008">
        <f t="shared" si="158"/>
        <v>35000000</v>
      </c>
      <c r="DW139" s="1008">
        <f t="shared" si="158"/>
        <v>0</v>
      </c>
      <c r="DX139" s="1008">
        <f t="shared" si="158"/>
        <v>0</v>
      </c>
      <c r="DY139" s="1008">
        <f t="shared" si="159"/>
        <v>0</v>
      </c>
      <c r="DZ139" s="1008">
        <f t="shared" si="159"/>
        <v>0</v>
      </c>
      <c r="EA139" s="1008">
        <f t="shared" si="159"/>
        <v>0</v>
      </c>
      <c r="EB139" s="1008">
        <f t="shared" si="159"/>
        <v>0</v>
      </c>
      <c r="EC139" s="1008"/>
      <c r="ED139" s="1008">
        <f t="shared" si="160"/>
        <v>0</v>
      </c>
    </row>
    <row r="140" spans="1:136" s="203" customFormat="1" ht="28.5" hidden="1" customHeight="1" x14ac:dyDescent="0.25">
      <c r="A140" s="1560"/>
      <c r="B140" s="989"/>
      <c r="C140" s="1631" t="s">
        <v>4494</v>
      </c>
      <c r="D140" s="1019" t="s">
        <v>4477</v>
      </c>
      <c r="E140" s="989">
        <v>111</v>
      </c>
      <c r="F140" s="1120" t="s">
        <v>4482</v>
      </c>
      <c r="G140" s="1400"/>
      <c r="H140" s="1061">
        <f t="shared" si="143"/>
        <v>0</v>
      </c>
      <c r="I140" s="1061">
        <f t="shared" si="144"/>
        <v>0</v>
      </c>
      <c r="J140" s="1399">
        <v>320</v>
      </c>
      <c r="K140" s="1283">
        <v>948</v>
      </c>
      <c r="L140" s="1283">
        <v>390</v>
      </c>
      <c r="M140" s="1075">
        <v>0</v>
      </c>
      <c r="N140" s="1075">
        <v>0</v>
      </c>
      <c r="O140" s="1075">
        <v>0</v>
      </c>
      <c r="P140" s="1075"/>
      <c r="Q140" s="1075"/>
      <c r="R140" s="1075"/>
      <c r="S140" s="1120"/>
      <c r="T140" s="1120"/>
      <c r="U140" s="1120"/>
      <c r="V140" s="1120"/>
      <c r="W140" s="1120"/>
      <c r="X140" s="1120"/>
      <c r="Y140" s="1067">
        <f t="shared" si="145"/>
        <v>0</v>
      </c>
      <c r="Z140" s="1067"/>
      <c r="AA140" s="1067"/>
      <c r="AB140" s="1067"/>
      <c r="AC140" s="1067">
        <f>1804000000-636519551-639181389-128000000-400299060</f>
        <v>0</v>
      </c>
      <c r="AD140" s="1067"/>
      <c r="AE140" s="1067"/>
      <c r="AF140" s="1067"/>
      <c r="AG140" s="1067"/>
      <c r="AH140" s="1067"/>
      <c r="AI140" s="1067"/>
      <c r="AJ140" s="1067"/>
      <c r="AK140" s="1067"/>
      <c r="AL140" s="1067"/>
      <c r="AM140" s="1067"/>
      <c r="AN140" s="1067"/>
      <c r="AO140" s="1067"/>
      <c r="AP140" s="1067"/>
      <c r="AQ140" s="1067"/>
      <c r="AR140" s="1067"/>
      <c r="AS140" s="1067"/>
      <c r="AT140" s="1089"/>
      <c r="AU140" s="1082">
        <v>0</v>
      </c>
      <c r="AV140" s="1067">
        <f t="shared" si="146"/>
        <v>0</v>
      </c>
      <c r="AW140" s="1067"/>
      <c r="AX140" s="1067"/>
      <c r="AY140" s="1067"/>
      <c r="AZ140" s="1067"/>
      <c r="BA140" s="1067"/>
      <c r="BB140" s="1067"/>
      <c r="BC140" s="1067"/>
      <c r="BD140" s="1067"/>
      <c r="BE140" s="1067"/>
      <c r="BF140" s="1067"/>
      <c r="BG140" s="1067"/>
      <c r="BH140" s="1067"/>
      <c r="BI140" s="1067"/>
      <c r="BJ140" s="1067"/>
      <c r="BK140" s="1067"/>
      <c r="BL140" s="1067"/>
      <c r="BM140" s="1067"/>
      <c r="BN140" s="1067"/>
      <c r="BO140" s="1067"/>
      <c r="BP140" s="1067"/>
      <c r="BQ140" s="1082">
        <v>0</v>
      </c>
      <c r="BR140" s="1067">
        <f t="shared" si="147"/>
        <v>0</v>
      </c>
      <c r="BS140" s="1067">
        <f t="shared" si="148"/>
        <v>0</v>
      </c>
      <c r="BT140" s="1067">
        <f t="shared" si="149"/>
        <v>0</v>
      </c>
      <c r="BU140" s="1067"/>
      <c r="BV140" s="1067">
        <f t="shared" si="150"/>
        <v>0</v>
      </c>
      <c r="BW140" s="1067">
        <f t="shared" si="150"/>
        <v>0</v>
      </c>
      <c r="BX140" s="1067">
        <f t="shared" si="151"/>
        <v>0</v>
      </c>
      <c r="BY140" s="1067">
        <f t="shared" si="151"/>
        <v>0</v>
      </c>
      <c r="BZ140" s="1067"/>
      <c r="CA140" s="1067">
        <f t="shared" si="152"/>
        <v>0</v>
      </c>
      <c r="CB140" s="1067">
        <f t="shared" si="152"/>
        <v>0</v>
      </c>
      <c r="CC140" s="1067">
        <f t="shared" si="152"/>
        <v>0</v>
      </c>
      <c r="CD140" s="1067">
        <f t="shared" si="152"/>
        <v>0</v>
      </c>
      <c r="CE140" s="1067">
        <f t="shared" si="152"/>
        <v>0</v>
      </c>
      <c r="CF140" s="1067">
        <f t="shared" si="152"/>
        <v>0</v>
      </c>
      <c r="CG140" s="1067">
        <f t="shared" si="152"/>
        <v>0</v>
      </c>
      <c r="CH140" s="1067">
        <f t="shared" si="152"/>
        <v>0</v>
      </c>
      <c r="CI140" s="1067">
        <f t="shared" si="152"/>
        <v>0</v>
      </c>
      <c r="CJ140" s="1067"/>
      <c r="CK140" s="1067">
        <f t="shared" si="161"/>
        <v>0</v>
      </c>
      <c r="CL140" s="1067">
        <f t="shared" si="153"/>
        <v>0</v>
      </c>
      <c r="CM140" s="1082">
        <v>0</v>
      </c>
      <c r="CN140" s="1067">
        <f t="shared" si="154"/>
        <v>0</v>
      </c>
      <c r="CO140" s="1067"/>
      <c r="CP140" s="1067"/>
      <c r="CQ140" s="1067"/>
      <c r="CR140" s="1067"/>
      <c r="CS140" s="1067"/>
      <c r="CT140" s="1067"/>
      <c r="CU140" s="1067"/>
      <c r="CV140" s="1067"/>
      <c r="CW140" s="1067"/>
      <c r="CX140" s="1067"/>
      <c r="CY140" s="1067"/>
      <c r="CZ140" s="1067"/>
      <c r="DA140" s="1067"/>
      <c r="DB140" s="1067"/>
      <c r="DC140" s="1067"/>
      <c r="DD140" s="1067"/>
      <c r="DE140" s="1067"/>
      <c r="DF140" s="1067"/>
      <c r="DG140" s="1067"/>
      <c r="DH140" s="1067"/>
      <c r="DI140" s="1082">
        <v>0</v>
      </c>
      <c r="DJ140" s="1067">
        <f t="shared" si="155"/>
        <v>0</v>
      </c>
      <c r="DK140" s="1067"/>
      <c r="DL140" s="1067"/>
      <c r="DM140" s="1067"/>
      <c r="DN140" s="1067">
        <f t="shared" si="156"/>
        <v>0</v>
      </c>
      <c r="DO140" s="1067">
        <f t="shared" si="156"/>
        <v>0</v>
      </c>
      <c r="DP140" s="1067">
        <f t="shared" si="156"/>
        <v>0</v>
      </c>
      <c r="DQ140" s="1067">
        <f t="shared" si="156"/>
        <v>0</v>
      </c>
      <c r="DR140" s="1067"/>
      <c r="DS140" s="1067">
        <f t="shared" si="157"/>
        <v>0</v>
      </c>
      <c r="DT140" s="1067">
        <f t="shared" si="157"/>
        <v>0</v>
      </c>
      <c r="DU140" s="1067"/>
      <c r="DV140" s="1067">
        <f t="shared" si="158"/>
        <v>0</v>
      </c>
      <c r="DW140" s="1067">
        <f t="shared" si="158"/>
        <v>0</v>
      </c>
      <c r="DX140" s="1067">
        <f t="shared" si="158"/>
        <v>0</v>
      </c>
      <c r="DY140" s="1067">
        <f t="shared" si="159"/>
        <v>0</v>
      </c>
      <c r="DZ140" s="1067">
        <f t="shared" si="159"/>
        <v>0</v>
      </c>
      <c r="EA140" s="1067">
        <f t="shared" si="159"/>
        <v>0</v>
      </c>
      <c r="EB140" s="1067">
        <f t="shared" si="159"/>
        <v>0</v>
      </c>
      <c r="EC140" s="1067"/>
      <c r="ED140" s="1067">
        <f t="shared" si="160"/>
        <v>0</v>
      </c>
    </row>
    <row r="141" spans="1:136" ht="21" hidden="1" customHeight="1" x14ac:dyDescent="0.25">
      <c r="A141" s="1560"/>
      <c r="B141" s="989"/>
      <c r="C141" s="1635" t="s">
        <v>4495</v>
      </c>
      <c r="D141" s="1019" t="s">
        <v>4714</v>
      </c>
      <c r="E141" s="994">
        <v>111</v>
      </c>
      <c r="F141" s="1120" t="s">
        <v>4482</v>
      </c>
      <c r="G141" s="1400"/>
      <c r="H141" s="1061">
        <f t="shared" si="143"/>
        <v>375878510</v>
      </c>
      <c r="I141" s="1061">
        <f t="shared" si="144"/>
        <v>180000000</v>
      </c>
      <c r="J141" s="1401"/>
      <c r="K141" s="1284"/>
      <c r="L141" s="1284"/>
      <c r="M141" s="1119">
        <v>6</v>
      </c>
      <c r="N141" s="1119">
        <v>0</v>
      </c>
      <c r="O141" s="1119">
        <v>0</v>
      </c>
      <c r="P141" s="1115">
        <v>100</v>
      </c>
      <c r="Q141" s="1115">
        <v>0</v>
      </c>
      <c r="R141" s="1115">
        <v>0</v>
      </c>
      <c r="S141" s="1120"/>
      <c r="T141" s="1120"/>
      <c r="U141" s="1120"/>
      <c r="V141" s="1120"/>
      <c r="W141" s="1120"/>
      <c r="X141" s="1120"/>
      <c r="Y141" s="1008">
        <f t="shared" si="145"/>
        <v>555878510</v>
      </c>
      <c r="Z141" s="1008"/>
      <c r="AA141" s="1008"/>
      <c r="AB141" s="1008"/>
      <c r="AC141" s="1008">
        <f>424000000+400000000-448121490+180000000</f>
        <v>555878510</v>
      </c>
      <c r="AD141" s="1008"/>
      <c r="AE141" s="1008"/>
      <c r="AF141" s="1008"/>
      <c r="AG141" s="1008"/>
      <c r="AH141" s="1008"/>
      <c r="AI141" s="1008"/>
      <c r="AJ141" s="1008"/>
      <c r="AK141" s="1008"/>
      <c r="AL141" s="1008"/>
      <c r="AM141" s="1008"/>
      <c r="AN141" s="1008"/>
      <c r="AO141" s="1008"/>
      <c r="AP141" s="1008"/>
      <c r="AQ141" s="1008"/>
      <c r="AR141" s="1008"/>
      <c r="AS141" s="1008"/>
      <c r="AT141" s="984"/>
      <c r="AU141" s="1011">
        <f t="shared" si="103"/>
        <v>0.67618823760609126</v>
      </c>
      <c r="AV141" s="1008">
        <f t="shared" si="146"/>
        <v>375878510</v>
      </c>
      <c r="AW141" s="1008"/>
      <c r="AX141" s="1008"/>
      <c r="AY141" s="1008"/>
      <c r="AZ141" s="1008">
        <f>+'[13]MAYO 2015'!$L$79-11600</f>
        <v>375878510</v>
      </c>
      <c r="BA141" s="1008"/>
      <c r="BB141" s="1008"/>
      <c r="BC141" s="1008"/>
      <c r="BD141" s="1008"/>
      <c r="BE141" s="1008"/>
      <c r="BF141" s="1008"/>
      <c r="BG141" s="1008"/>
      <c r="BH141" s="1008"/>
      <c r="BI141" s="1008"/>
      <c r="BJ141" s="1008"/>
      <c r="BK141" s="1008"/>
      <c r="BL141" s="1008"/>
      <c r="BM141" s="1008"/>
      <c r="BN141" s="1008"/>
      <c r="BO141" s="1008"/>
      <c r="BP141" s="1008"/>
      <c r="BQ141" s="1011">
        <f t="shared" si="105"/>
        <v>0.32381176239390874</v>
      </c>
      <c r="BR141" s="1008">
        <f t="shared" si="147"/>
        <v>180000000</v>
      </c>
      <c r="BS141" s="1008">
        <f t="shared" si="148"/>
        <v>0</v>
      </c>
      <c r="BT141" s="1008">
        <f t="shared" si="149"/>
        <v>0</v>
      </c>
      <c r="BU141" s="1008"/>
      <c r="BV141" s="1008">
        <f t="shared" si="150"/>
        <v>180000000</v>
      </c>
      <c r="BW141" s="1008">
        <f t="shared" si="150"/>
        <v>0</v>
      </c>
      <c r="BX141" s="1008">
        <f t="shared" si="151"/>
        <v>0</v>
      </c>
      <c r="BY141" s="1008">
        <f t="shared" si="151"/>
        <v>0</v>
      </c>
      <c r="BZ141" s="1008"/>
      <c r="CA141" s="1008">
        <f t="shared" si="152"/>
        <v>0</v>
      </c>
      <c r="CB141" s="1008">
        <f t="shared" si="152"/>
        <v>0</v>
      </c>
      <c r="CC141" s="1008">
        <f t="shared" si="152"/>
        <v>0</v>
      </c>
      <c r="CD141" s="1008">
        <f t="shared" si="152"/>
        <v>0</v>
      </c>
      <c r="CE141" s="1008">
        <f t="shared" si="152"/>
        <v>0</v>
      </c>
      <c r="CF141" s="1008">
        <f t="shared" si="152"/>
        <v>0</v>
      </c>
      <c r="CG141" s="1008">
        <f t="shared" si="152"/>
        <v>0</v>
      </c>
      <c r="CH141" s="1008">
        <f t="shared" si="152"/>
        <v>0</v>
      </c>
      <c r="CI141" s="1008">
        <f t="shared" si="152"/>
        <v>0</v>
      </c>
      <c r="CJ141" s="1008"/>
      <c r="CK141" s="1008">
        <f t="shared" si="161"/>
        <v>0</v>
      </c>
      <c r="CL141" s="1008">
        <f t="shared" si="153"/>
        <v>0</v>
      </c>
      <c r="CM141" s="1011">
        <f t="shared" si="113"/>
        <v>0.67618823760609126</v>
      </c>
      <c r="CN141" s="1008">
        <f t="shared" si="154"/>
        <v>375878510</v>
      </c>
      <c r="CO141" s="1008"/>
      <c r="CP141" s="1008"/>
      <c r="CQ141" s="1008"/>
      <c r="CR141" s="1008">
        <v>375878510</v>
      </c>
      <c r="CS141" s="1008"/>
      <c r="CT141" s="1008"/>
      <c r="CU141" s="1008"/>
      <c r="CV141" s="1008"/>
      <c r="CW141" s="1008"/>
      <c r="CX141" s="1008"/>
      <c r="CY141" s="1008"/>
      <c r="CZ141" s="1008"/>
      <c r="DA141" s="1008"/>
      <c r="DB141" s="1008"/>
      <c r="DC141" s="1008"/>
      <c r="DD141" s="1008"/>
      <c r="DE141" s="1008"/>
      <c r="DF141" s="1008"/>
      <c r="DG141" s="1008"/>
      <c r="DH141" s="1008"/>
      <c r="DI141" s="1011">
        <f t="shared" si="115"/>
        <v>0.32381176239390874</v>
      </c>
      <c r="DJ141" s="1008">
        <f t="shared" si="155"/>
        <v>180000000</v>
      </c>
      <c r="DK141" s="1008"/>
      <c r="DL141" s="1008"/>
      <c r="DM141" s="1008"/>
      <c r="DN141" s="1008">
        <f t="shared" si="156"/>
        <v>180000000</v>
      </c>
      <c r="DO141" s="1008">
        <f t="shared" si="156"/>
        <v>0</v>
      </c>
      <c r="DP141" s="1008">
        <f t="shared" si="156"/>
        <v>0</v>
      </c>
      <c r="DQ141" s="1008">
        <f t="shared" si="156"/>
        <v>0</v>
      </c>
      <c r="DR141" s="1008"/>
      <c r="DS141" s="1008">
        <f t="shared" si="157"/>
        <v>0</v>
      </c>
      <c r="DT141" s="1008">
        <f t="shared" si="157"/>
        <v>0</v>
      </c>
      <c r="DU141" s="1008"/>
      <c r="DV141" s="1008">
        <f t="shared" si="158"/>
        <v>0</v>
      </c>
      <c r="DW141" s="1008">
        <f t="shared" si="158"/>
        <v>0</v>
      </c>
      <c r="DX141" s="1008">
        <f t="shared" si="158"/>
        <v>0</v>
      </c>
      <c r="DY141" s="1008">
        <f t="shared" si="159"/>
        <v>0</v>
      </c>
      <c r="DZ141" s="1008">
        <f t="shared" si="159"/>
        <v>0</v>
      </c>
      <c r="EA141" s="1008">
        <f t="shared" si="159"/>
        <v>0</v>
      </c>
      <c r="EB141" s="1008">
        <f t="shared" si="159"/>
        <v>0</v>
      </c>
      <c r="EC141" s="1008"/>
      <c r="ED141" s="1008">
        <f t="shared" si="160"/>
        <v>0</v>
      </c>
    </row>
    <row r="142" spans="1:136" s="203" customFormat="1" ht="48.75" hidden="1" customHeight="1" x14ac:dyDescent="0.25">
      <c r="A142" s="1560"/>
      <c r="B142" s="989"/>
      <c r="C142" s="1631" t="s">
        <v>4496</v>
      </c>
      <c r="D142" s="1019" t="s">
        <v>4478</v>
      </c>
      <c r="E142" s="989">
        <v>111</v>
      </c>
      <c r="F142" s="1120" t="s">
        <v>4482</v>
      </c>
      <c r="G142" s="1400"/>
      <c r="H142" s="1061">
        <f t="shared" si="143"/>
        <v>0</v>
      </c>
      <c r="I142" s="1061">
        <f t="shared" si="144"/>
        <v>0</v>
      </c>
      <c r="J142" s="1270">
        <v>9</v>
      </c>
      <c r="K142" s="1305">
        <v>129</v>
      </c>
      <c r="L142" s="1305">
        <v>20</v>
      </c>
      <c r="M142" s="1075">
        <v>0</v>
      </c>
      <c r="N142" s="1075">
        <v>0</v>
      </c>
      <c r="O142" s="1075">
        <v>0</v>
      </c>
      <c r="P142" s="1075"/>
      <c r="Q142" s="1075"/>
      <c r="R142" s="1075"/>
      <c r="S142" s="1120"/>
      <c r="T142" s="1120"/>
      <c r="U142" s="1120"/>
      <c r="V142" s="1120"/>
      <c r="W142" s="1120"/>
      <c r="X142" s="1120"/>
      <c r="Y142" s="1067">
        <f t="shared" si="145"/>
        <v>0</v>
      </c>
      <c r="Z142" s="1067"/>
      <c r="AA142" s="1067"/>
      <c r="AB142" s="1067"/>
      <c r="AC142" s="1067">
        <f>212000000-212000000</f>
        <v>0</v>
      </c>
      <c r="AD142" s="1067"/>
      <c r="AE142" s="1067"/>
      <c r="AF142" s="1067"/>
      <c r="AG142" s="1067"/>
      <c r="AH142" s="1067"/>
      <c r="AI142" s="1067"/>
      <c r="AJ142" s="1067"/>
      <c r="AK142" s="1067"/>
      <c r="AL142" s="1067"/>
      <c r="AM142" s="1067"/>
      <c r="AN142" s="1067"/>
      <c r="AO142" s="1067"/>
      <c r="AP142" s="1067"/>
      <c r="AQ142" s="1067"/>
      <c r="AR142" s="1067"/>
      <c r="AS142" s="1067"/>
      <c r="AT142" s="1089"/>
      <c r="AU142" s="1082">
        <v>0</v>
      </c>
      <c r="AV142" s="1067">
        <f t="shared" si="146"/>
        <v>0</v>
      </c>
      <c r="AW142" s="1067"/>
      <c r="AX142" s="1067"/>
      <c r="AY142" s="1067"/>
      <c r="AZ142" s="1067"/>
      <c r="BA142" s="1067"/>
      <c r="BB142" s="1067"/>
      <c r="BC142" s="1067"/>
      <c r="BD142" s="1067"/>
      <c r="BE142" s="1067"/>
      <c r="BF142" s="1067"/>
      <c r="BG142" s="1067"/>
      <c r="BH142" s="1067"/>
      <c r="BI142" s="1067"/>
      <c r="BJ142" s="1067"/>
      <c r="BK142" s="1067"/>
      <c r="BL142" s="1067"/>
      <c r="BM142" s="1067"/>
      <c r="BN142" s="1067"/>
      <c r="BO142" s="1067"/>
      <c r="BP142" s="1067"/>
      <c r="BQ142" s="1082">
        <v>0</v>
      </c>
      <c r="BR142" s="1067">
        <f t="shared" si="147"/>
        <v>0</v>
      </c>
      <c r="BS142" s="1067">
        <f t="shared" si="148"/>
        <v>0</v>
      </c>
      <c r="BT142" s="1067">
        <f t="shared" si="149"/>
        <v>0</v>
      </c>
      <c r="BU142" s="1067"/>
      <c r="BV142" s="1067">
        <f t="shared" si="150"/>
        <v>0</v>
      </c>
      <c r="BW142" s="1067">
        <f t="shared" si="150"/>
        <v>0</v>
      </c>
      <c r="BX142" s="1067">
        <f t="shared" si="151"/>
        <v>0</v>
      </c>
      <c r="BY142" s="1067">
        <f t="shared" si="151"/>
        <v>0</v>
      </c>
      <c r="BZ142" s="1067"/>
      <c r="CA142" s="1067">
        <f t="shared" si="152"/>
        <v>0</v>
      </c>
      <c r="CB142" s="1067">
        <f t="shared" si="152"/>
        <v>0</v>
      </c>
      <c r="CC142" s="1067">
        <f t="shared" si="152"/>
        <v>0</v>
      </c>
      <c r="CD142" s="1067">
        <f t="shared" si="152"/>
        <v>0</v>
      </c>
      <c r="CE142" s="1067">
        <f t="shared" si="152"/>
        <v>0</v>
      </c>
      <c r="CF142" s="1067">
        <f t="shared" si="152"/>
        <v>0</v>
      </c>
      <c r="CG142" s="1067">
        <f t="shared" si="152"/>
        <v>0</v>
      </c>
      <c r="CH142" s="1067">
        <f t="shared" si="152"/>
        <v>0</v>
      </c>
      <c r="CI142" s="1067">
        <f t="shared" si="152"/>
        <v>0</v>
      </c>
      <c r="CJ142" s="1067"/>
      <c r="CK142" s="1067">
        <f t="shared" si="161"/>
        <v>0</v>
      </c>
      <c r="CL142" s="1067">
        <f t="shared" si="153"/>
        <v>0</v>
      </c>
      <c r="CM142" s="1082">
        <v>0</v>
      </c>
      <c r="CN142" s="1067">
        <f t="shared" si="154"/>
        <v>0</v>
      </c>
      <c r="CO142" s="1067"/>
      <c r="CP142" s="1067"/>
      <c r="CQ142" s="1067"/>
      <c r="CR142" s="1067"/>
      <c r="CS142" s="1067"/>
      <c r="CT142" s="1067"/>
      <c r="CU142" s="1067"/>
      <c r="CV142" s="1067"/>
      <c r="CW142" s="1067"/>
      <c r="CX142" s="1067"/>
      <c r="CY142" s="1067"/>
      <c r="CZ142" s="1067"/>
      <c r="DA142" s="1067"/>
      <c r="DB142" s="1067"/>
      <c r="DC142" s="1067"/>
      <c r="DD142" s="1067"/>
      <c r="DE142" s="1067"/>
      <c r="DF142" s="1067"/>
      <c r="DG142" s="1067"/>
      <c r="DH142" s="1067"/>
      <c r="DI142" s="1082">
        <v>0</v>
      </c>
      <c r="DJ142" s="1067">
        <f t="shared" si="155"/>
        <v>0</v>
      </c>
      <c r="DK142" s="1067"/>
      <c r="DL142" s="1067"/>
      <c r="DM142" s="1067"/>
      <c r="DN142" s="1067">
        <f t="shared" si="156"/>
        <v>0</v>
      </c>
      <c r="DO142" s="1067">
        <f t="shared" si="156"/>
        <v>0</v>
      </c>
      <c r="DP142" s="1067">
        <f t="shared" si="156"/>
        <v>0</v>
      </c>
      <c r="DQ142" s="1067">
        <f t="shared" si="156"/>
        <v>0</v>
      </c>
      <c r="DR142" s="1067"/>
      <c r="DS142" s="1067">
        <f t="shared" si="157"/>
        <v>0</v>
      </c>
      <c r="DT142" s="1067">
        <f t="shared" si="157"/>
        <v>0</v>
      </c>
      <c r="DU142" s="1067"/>
      <c r="DV142" s="1067">
        <f t="shared" si="158"/>
        <v>0</v>
      </c>
      <c r="DW142" s="1067">
        <f t="shared" si="158"/>
        <v>0</v>
      </c>
      <c r="DX142" s="1067">
        <f t="shared" si="158"/>
        <v>0</v>
      </c>
      <c r="DY142" s="1067">
        <f t="shared" si="159"/>
        <v>0</v>
      </c>
      <c r="DZ142" s="1067">
        <f t="shared" si="159"/>
        <v>0</v>
      </c>
      <c r="EA142" s="1067">
        <f t="shared" si="159"/>
        <v>0</v>
      </c>
      <c r="EB142" s="1067">
        <f t="shared" si="159"/>
        <v>0</v>
      </c>
      <c r="EC142" s="1067"/>
      <c r="ED142" s="1067">
        <f t="shared" si="160"/>
        <v>0</v>
      </c>
    </row>
    <row r="143" spans="1:136" s="203" customFormat="1" ht="27.75" hidden="1" customHeight="1" x14ac:dyDescent="0.25">
      <c r="A143" s="1560"/>
      <c r="B143" s="989"/>
      <c r="C143" s="1631" t="s">
        <v>4497</v>
      </c>
      <c r="D143" s="1019" t="s">
        <v>4479</v>
      </c>
      <c r="E143" s="989">
        <v>111</v>
      </c>
      <c r="F143" s="1120" t="s">
        <v>4482</v>
      </c>
      <c r="G143" s="1400"/>
      <c r="H143" s="1061">
        <f t="shared" si="143"/>
        <v>0</v>
      </c>
      <c r="I143" s="1061">
        <f t="shared" si="144"/>
        <v>0</v>
      </c>
      <c r="J143" s="1270"/>
      <c r="K143" s="1305"/>
      <c r="L143" s="1305"/>
      <c r="M143" s="1075">
        <v>0</v>
      </c>
      <c r="N143" s="1075">
        <v>0</v>
      </c>
      <c r="O143" s="1075">
        <v>0</v>
      </c>
      <c r="P143" s="1075"/>
      <c r="Q143" s="1075"/>
      <c r="R143" s="1075"/>
      <c r="S143" s="1120"/>
      <c r="T143" s="1120"/>
      <c r="U143" s="1120"/>
      <c r="V143" s="1120"/>
      <c r="W143" s="1120"/>
      <c r="X143" s="1120"/>
      <c r="Y143" s="1067">
        <f t="shared" si="145"/>
        <v>0</v>
      </c>
      <c r="Z143" s="1067"/>
      <c r="AA143" s="1067"/>
      <c r="AB143" s="1067"/>
      <c r="AC143" s="1067">
        <f>63600000-50000000-13600000</f>
        <v>0</v>
      </c>
      <c r="AD143" s="1067"/>
      <c r="AE143" s="1067"/>
      <c r="AF143" s="1067"/>
      <c r="AG143" s="1067"/>
      <c r="AH143" s="1067"/>
      <c r="AI143" s="1067"/>
      <c r="AJ143" s="1067"/>
      <c r="AK143" s="1067"/>
      <c r="AL143" s="1067"/>
      <c r="AM143" s="1067"/>
      <c r="AN143" s="1067"/>
      <c r="AO143" s="1067"/>
      <c r="AP143" s="1067"/>
      <c r="AQ143" s="1067"/>
      <c r="AR143" s="1067"/>
      <c r="AS143" s="1067"/>
      <c r="AT143" s="1089"/>
      <c r="AU143" s="1082">
        <v>0</v>
      </c>
      <c r="AV143" s="1067">
        <f t="shared" si="146"/>
        <v>0</v>
      </c>
      <c r="AW143" s="1067"/>
      <c r="AX143" s="1067"/>
      <c r="AY143" s="1067"/>
      <c r="AZ143" s="1067"/>
      <c r="BA143" s="1067"/>
      <c r="BB143" s="1067"/>
      <c r="BC143" s="1067"/>
      <c r="BD143" s="1067"/>
      <c r="BE143" s="1067"/>
      <c r="BF143" s="1067"/>
      <c r="BG143" s="1067"/>
      <c r="BH143" s="1067"/>
      <c r="BI143" s="1067"/>
      <c r="BJ143" s="1067"/>
      <c r="BK143" s="1067"/>
      <c r="BL143" s="1067"/>
      <c r="BM143" s="1067"/>
      <c r="BN143" s="1067"/>
      <c r="BO143" s="1067"/>
      <c r="BP143" s="1067"/>
      <c r="BQ143" s="1082">
        <v>0</v>
      </c>
      <c r="BR143" s="1067">
        <f t="shared" si="147"/>
        <v>0</v>
      </c>
      <c r="BS143" s="1067">
        <f t="shared" si="148"/>
        <v>0</v>
      </c>
      <c r="BT143" s="1067">
        <f t="shared" si="149"/>
        <v>0</v>
      </c>
      <c r="BU143" s="1067"/>
      <c r="BV143" s="1067">
        <f t="shared" si="150"/>
        <v>0</v>
      </c>
      <c r="BW143" s="1067">
        <f t="shared" si="150"/>
        <v>0</v>
      </c>
      <c r="BX143" s="1067">
        <f t="shared" si="151"/>
        <v>0</v>
      </c>
      <c r="BY143" s="1067">
        <f t="shared" si="151"/>
        <v>0</v>
      </c>
      <c r="BZ143" s="1067"/>
      <c r="CA143" s="1067">
        <f t="shared" si="152"/>
        <v>0</v>
      </c>
      <c r="CB143" s="1067">
        <f t="shared" si="152"/>
        <v>0</v>
      </c>
      <c r="CC143" s="1067">
        <f t="shared" si="152"/>
        <v>0</v>
      </c>
      <c r="CD143" s="1067">
        <f t="shared" si="152"/>
        <v>0</v>
      </c>
      <c r="CE143" s="1067">
        <f t="shared" si="152"/>
        <v>0</v>
      </c>
      <c r="CF143" s="1067">
        <f t="shared" si="152"/>
        <v>0</v>
      </c>
      <c r="CG143" s="1067">
        <f t="shared" si="152"/>
        <v>0</v>
      </c>
      <c r="CH143" s="1067">
        <f t="shared" si="152"/>
        <v>0</v>
      </c>
      <c r="CI143" s="1067">
        <f t="shared" si="152"/>
        <v>0</v>
      </c>
      <c r="CJ143" s="1067"/>
      <c r="CK143" s="1067">
        <f t="shared" si="161"/>
        <v>0</v>
      </c>
      <c r="CL143" s="1067">
        <f t="shared" si="153"/>
        <v>0</v>
      </c>
      <c r="CM143" s="1082">
        <v>0</v>
      </c>
      <c r="CN143" s="1067">
        <f t="shared" si="154"/>
        <v>0</v>
      </c>
      <c r="CO143" s="1067"/>
      <c r="CP143" s="1067"/>
      <c r="CQ143" s="1067"/>
      <c r="CR143" s="1067"/>
      <c r="CS143" s="1067"/>
      <c r="CT143" s="1067"/>
      <c r="CU143" s="1067"/>
      <c r="CV143" s="1067"/>
      <c r="CW143" s="1067"/>
      <c r="CX143" s="1067"/>
      <c r="CY143" s="1067"/>
      <c r="CZ143" s="1067"/>
      <c r="DA143" s="1067"/>
      <c r="DB143" s="1067"/>
      <c r="DC143" s="1067"/>
      <c r="DD143" s="1067"/>
      <c r="DE143" s="1067"/>
      <c r="DF143" s="1067"/>
      <c r="DG143" s="1067"/>
      <c r="DH143" s="1067"/>
      <c r="DI143" s="1082">
        <v>0</v>
      </c>
      <c r="DJ143" s="1067">
        <f t="shared" si="155"/>
        <v>0</v>
      </c>
      <c r="DK143" s="1067"/>
      <c r="DL143" s="1067"/>
      <c r="DM143" s="1067"/>
      <c r="DN143" s="1067">
        <f t="shared" si="156"/>
        <v>0</v>
      </c>
      <c r="DO143" s="1067">
        <f t="shared" si="156"/>
        <v>0</v>
      </c>
      <c r="DP143" s="1067">
        <f t="shared" si="156"/>
        <v>0</v>
      </c>
      <c r="DQ143" s="1067">
        <f t="shared" si="156"/>
        <v>0</v>
      </c>
      <c r="DR143" s="1067"/>
      <c r="DS143" s="1067">
        <f t="shared" si="157"/>
        <v>0</v>
      </c>
      <c r="DT143" s="1067">
        <f t="shared" si="157"/>
        <v>0</v>
      </c>
      <c r="DU143" s="1067"/>
      <c r="DV143" s="1067">
        <f t="shared" si="158"/>
        <v>0</v>
      </c>
      <c r="DW143" s="1067">
        <f t="shared" si="158"/>
        <v>0</v>
      </c>
      <c r="DX143" s="1067">
        <f t="shared" si="158"/>
        <v>0</v>
      </c>
      <c r="DY143" s="1067">
        <f t="shared" si="159"/>
        <v>0</v>
      </c>
      <c r="DZ143" s="1067">
        <f t="shared" si="159"/>
        <v>0</v>
      </c>
      <c r="EA143" s="1067">
        <f t="shared" si="159"/>
        <v>0</v>
      </c>
      <c r="EB143" s="1067">
        <f t="shared" si="159"/>
        <v>0</v>
      </c>
      <c r="EC143" s="1067"/>
      <c r="ED143" s="1067">
        <f t="shared" si="160"/>
        <v>0</v>
      </c>
    </row>
    <row r="144" spans="1:136" ht="34.5" hidden="1" customHeight="1" x14ac:dyDescent="0.25">
      <c r="A144" s="1560"/>
      <c r="B144" s="989"/>
      <c r="C144" s="1635" t="s">
        <v>4498</v>
      </c>
      <c r="D144" s="1019" t="s">
        <v>4480</v>
      </c>
      <c r="E144" s="994">
        <v>111</v>
      </c>
      <c r="F144" s="1120" t="s">
        <v>4482</v>
      </c>
      <c r="G144" s="1400"/>
      <c r="H144" s="1061">
        <f t="shared" si="143"/>
        <v>0</v>
      </c>
      <c r="I144" s="1061">
        <f t="shared" si="144"/>
        <v>121000000</v>
      </c>
      <c r="J144" s="1575">
        <v>1120</v>
      </c>
      <c r="K144" s="1578">
        <v>3920</v>
      </c>
      <c r="L144" s="1283">
        <v>1456</v>
      </c>
      <c r="M144" s="1115">
        <v>0</v>
      </c>
      <c r="N144" s="1115">
        <v>0</v>
      </c>
      <c r="O144" s="1115">
        <v>0</v>
      </c>
      <c r="P144" s="1115">
        <v>0</v>
      </c>
      <c r="Q144" s="1115">
        <v>0</v>
      </c>
      <c r="R144" s="1115">
        <v>0</v>
      </c>
      <c r="S144" s="1120"/>
      <c r="T144" s="1120"/>
      <c r="U144" s="1120"/>
      <c r="V144" s="1120"/>
      <c r="W144" s="1120"/>
      <c r="X144" s="1120"/>
      <c r="Y144" s="1008">
        <f t="shared" si="145"/>
        <v>121000000</v>
      </c>
      <c r="Z144" s="1008"/>
      <c r="AA144" s="1008"/>
      <c r="AB144" s="1008"/>
      <c r="AC144" s="1008">
        <f>1590000000+897519551-1587519551-900000000</f>
        <v>0</v>
      </c>
      <c r="AD144" s="1008"/>
      <c r="AE144" s="1008"/>
      <c r="AF144" s="1008"/>
      <c r="AG144" s="1008"/>
      <c r="AH144" s="1008"/>
      <c r="AI144" s="1008"/>
      <c r="AJ144" s="1008"/>
      <c r="AK144" s="1008"/>
      <c r="AL144" s="1008"/>
      <c r="AM144" s="1008"/>
      <c r="AN144" s="1008"/>
      <c r="AO144" s="1008"/>
      <c r="AP144" s="1008"/>
      <c r="AQ144" s="1008"/>
      <c r="AR144" s="1008"/>
      <c r="AS144" s="1008">
        <v>121000000</v>
      </c>
      <c r="AT144" s="984"/>
      <c r="AU144" s="1011">
        <f t="shared" si="103"/>
        <v>0</v>
      </c>
      <c r="AV144" s="1008">
        <f t="shared" si="146"/>
        <v>0</v>
      </c>
      <c r="AW144" s="1008"/>
      <c r="AX144" s="1008"/>
      <c r="AY144" s="1008"/>
      <c r="AZ144" s="1008"/>
      <c r="BA144" s="1008"/>
      <c r="BB144" s="1008"/>
      <c r="BC144" s="1008"/>
      <c r="BD144" s="1008"/>
      <c r="BE144" s="1008"/>
      <c r="BF144" s="1008"/>
      <c r="BG144" s="1008"/>
      <c r="BH144" s="1008"/>
      <c r="BI144" s="1008"/>
      <c r="BJ144" s="1008"/>
      <c r="BK144" s="1008"/>
      <c r="BL144" s="1008"/>
      <c r="BM144" s="1008"/>
      <c r="BN144" s="1008"/>
      <c r="BO144" s="1008"/>
      <c r="BP144" s="1008"/>
      <c r="BQ144" s="1011">
        <f t="shared" si="105"/>
        <v>1</v>
      </c>
      <c r="BR144" s="1008">
        <f t="shared" si="147"/>
        <v>121000000</v>
      </c>
      <c r="BS144" s="1008">
        <f t="shared" si="148"/>
        <v>0</v>
      </c>
      <c r="BT144" s="1008">
        <f t="shared" si="149"/>
        <v>0</v>
      </c>
      <c r="BU144" s="1008"/>
      <c r="BV144" s="1008">
        <f t="shared" si="150"/>
        <v>0</v>
      </c>
      <c r="BW144" s="1008">
        <f t="shared" si="150"/>
        <v>0</v>
      </c>
      <c r="BX144" s="1008">
        <f t="shared" si="151"/>
        <v>0</v>
      </c>
      <c r="BY144" s="1008">
        <f t="shared" si="151"/>
        <v>0</v>
      </c>
      <c r="BZ144" s="1008"/>
      <c r="CA144" s="1008">
        <f t="shared" si="152"/>
        <v>0</v>
      </c>
      <c r="CB144" s="1008">
        <f t="shared" si="152"/>
        <v>0</v>
      </c>
      <c r="CC144" s="1008">
        <f t="shared" si="152"/>
        <v>0</v>
      </c>
      <c r="CD144" s="1008">
        <f t="shared" si="152"/>
        <v>0</v>
      </c>
      <c r="CE144" s="1008">
        <f t="shared" si="152"/>
        <v>0</v>
      </c>
      <c r="CF144" s="1008">
        <f t="shared" si="152"/>
        <v>0</v>
      </c>
      <c r="CG144" s="1008">
        <f t="shared" si="152"/>
        <v>0</v>
      </c>
      <c r="CH144" s="1008">
        <f t="shared" si="152"/>
        <v>0</v>
      </c>
      <c r="CI144" s="1008">
        <f t="shared" si="152"/>
        <v>0</v>
      </c>
      <c r="CJ144" s="1008"/>
      <c r="CK144" s="1008">
        <f t="shared" si="161"/>
        <v>0</v>
      </c>
      <c r="CL144" s="1008">
        <f t="shared" si="153"/>
        <v>121000000</v>
      </c>
      <c r="CM144" s="1011">
        <f t="shared" si="113"/>
        <v>0</v>
      </c>
      <c r="CN144" s="1008">
        <f t="shared" si="154"/>
        <v>0</v>
      </c>
      <c r="CO144" s="1008"/>
      <c r="CP144" s="1008"/>
      <c r="CQ144" s="1008"/>
      <c r="CR144" s="1008"/>
      <c r="CS144" s="1008"/>
      <c r="CT144" s="1008"/>
      <c r="CU144" s="1008"/>
      <c r="CV144" s="1008"/>
      <c r="CW144" s="1008"/>
      <c r="CX144" s="1008"/>
      <c r="CY144" s="1008"/>
      <c r="CZ144" s="1008"/>
      <c r="DA144" s="1008"/>
      <c r="DB144" s="1008"/>
      <c r="DC144" s="1008"/>
      <c r="DD144" s="1008"/>
      <c r="DE144" s="1008"/>
      <c r="DF144" s="1008"/>
      <c r="DG144" s="1008"/>
      <c r="DH144" s="1008"/>
      <c r="DI144" s="1011">
        <f t="shared" si="115"/>
        <v>1</v>
      </c>
      <c r="DJ144" s="1008">
        <f t="shared" si="155"/>
        <v>121000000</v>
      </c>
      <c r="DK144" s="1008"/>
      <c r="DL144" s="1008"/>
      <c r="DM144" s="1008"/>
      <c r="DN144" s="1008">
        <f t="shared" si="156"/>
        <v>0</v>
      </c>
      <c r="DO144" s="1008">
        <f t="shared" si="156"/>
        <v>0</v>
      </c>
      <c r="DP144" s="1008">
        <f t="shared" si="156"/>
        <v>0</v>
      </c>
      <c r="DQ144" s="1008">
        <f t="shared" si="156"/>
        <v>0</v>
      </c>
      <c r="DR144" s="1008"/>
      <c r="DS144" s="1008">
        <f t="shared" si="157"/>
        <v>0</v>
      </c>
      <c r="DT144" s="1008">
        <f t="shared" si="157"/>
        <v>0</v>
      </c>
      <c r="DU144" s="1008"/>
      <c r="DV144" s="1008">
        <f t="shared" si="158"/>
        <v>0</v>
      </c>
      <c r="DW144" s="1008">
        <f t="shared" si="158"/>
        <v>0</v>
      </c>
      <c r="DX144" s="1008">
        <f t="shared" si="158"/>
        <v>0</v>
      </c>
      <c r="DY144" s="1008">
        <f t="shared" si="159"/>
        <v>0</v>
      </c>
      <c r="DZ144" s="1008">
        <f t="shared" si="159"/>
        <v>0</v>
      </c>
      <c r="EA144" s="1008">
        <f t="shared" si="159"/>
        <v>0</v>
      </c>
      <c r="EB144" s="1008">
        <f t="shared" si="159"/>
        <v>0</v>
      </c>
      <c r="EC144" s="1008"/>
      <c r="ED144" s="1008">
        <f t="shared" si="160"/>
        <v>121000000</v>
      </c>
    </row>
    <row r="145" spans="1:134" s="203" customFormat="1" ht="35.25" hidden="1" customHeight="1" x14ac:dyDescent="0.25">
      <c r="A145" s="1560"/>
      <c r="B145" s="989"/>
      <c r="C145" s="1631" t="s">
        <v>4499</v>
      </c>
      <c r="D145" s="1019" t="s">
        <v>4481</v>
      </c>
      <c r="E145" s="989">
        <v>111</v>
      </c>
      <c r="F145" s="1120" t="s">
        <v>4482</v>
      </c>
      <c r="G145" s="1400"/>
      <c r="H145" s="1061">
        <f t="shared" si="143"/>
        <v>0</v>
      </c>
      <c r="I145" s="1061">
        <f t="shared" si="144"/>
        <v>0</v>
      </c>
      <c r="J145" s="1576"/>
      <c r="K145" s="1579"/>
      <c r="L145" s="1573"/>
      <c r="M145" s="1075"/>
      <c r="N145" s="1075"/>
      <c r="O145" s="1075"/>
      <c r="P145" s="1075"/>
      <c r="Q145" s="1075"/>
      <c r="R145" s="1075"/>
      <c r="S145" s="1120"/>
      <c r="T145" s="1120"/>
      <c r="U145" s="1120"/>
      <c r="V145" s="1120"/>
      <c r="W145" s="1120"/>
      <c r="X145" s="1120"/>
      <c r="Y145" s="1067">
        <f t="shared" si="145"/>
        <v>0</v>
      </c>
      <c r="Z145" s="149"/>
      <c r="AA145" s="149"/>
      <c r="AB145" s="149"/>
      <c r="AC145" s="1067">
        <f>417803755-417803755</f>
        <v>0</v>
      </c>
      <c r="AD145" s="149"/>
      <c r="AE145" s="149"/>
      <c r="AF145" s="149"/>
      <c r="AG145" s="149"/>
      <c r="AH145" s="149"/>
      <c r="AI145" s="149"/>
      <c r="AJ145" s="149"/>
      <c r="AK145" s="149"/>
      <c r="AL145" s="149"/>
      <c r="AM145" s="149"/>
      <c r="AN145" s="149"/>
      <c r="AO145" s="149"/>
      <c r="AP145" s="149"/>
      <c r="AQ145" s="149"/>
      <c r="AR145" s="149"/>
      <c r="AS145" s="149"/>
      <c r="AT145" s="1089"/>
      <c r="AU145" s="1082">
        <v>0</v>
      </c>
      <c r="AV145" s="1067">
        <f t="shared" si="146"/>
        <v>0</v>
      </c>
      <c r="AW145" s="1067"/>
      <c r="AX145" s="1067"/>
      <c r="AY145" s="1067"/>
      <c r="AZ145" s="1067"/>
      <c r="BA145" s="1067"/>
      <c r="BB145" s="1067"/>
      <c r="BC145" s="1067"/>
      <c r="BD145" s="1067"/>
      <c r="BE145" s="1067"/>
      <c r="BF145" s="1067"/>
      <c r="BG145" s="1067"/>
      <c r="BH145" s="1067"/>
      <c r="BI145" s="1067"/>
      <c r="BJ145" s="1067"/>
      <c r="BK145" s="1067"/>
      <c r="BL145" s="1067"/>
      <c r="BM145" s="1067"/>
      <c r="BN145" s="1067"/>
      <c r="BO145" s="1067"/>
      <c r="BP145" s="1067"/>
      <c r="BQ145" s="1082">
        <v>0</v>
      </c>
      <c r="BR145" s="1067">
        <f t="shared" si="147"/>
        <v>0</v>
      </c>
      <c r="BS145" s="1067">
        <f t="shared" si="148"/>
        <v>0</v>
      </c>
      <c r="BT145" s="1067">
        <f t="shared" si="149"/>
        <v>0</v>
      </c>
      <c r="BU145" s="1067"/>
      <c r="BV145" s="1067">
        <f t="shared" si="150"/>
        <v>0</v>
      </c>
      <c r="BW145" s="1067">
        <f t="shared" si="150"/>
        <v>0</v>
      </c>
      <c r="BX145" s="1067">
        <f t="shared" si="151"/>
        <v>0</v>
      </c>
      <c r="BY145" s="1067">
        <f t="shared" si="151"/>
        <v>0</v>
      </c>
      <c r="BZ145" s="1067"/>
      <c r="CA145" s="1067">
        <f t="shared" si="152"/>
        <v>0</v>
      </c>
      <c r="CB145" s="1067">
        <f t="shared" si="152"/>
        <v>0</v>
      </c>
      <c r="CC145" s="1067">
        <f t="shared" si="152"/>
        <v>0</v>
      </c>
      <c r="CD145" s="1067">
        <f t="shared" si="152"/>
        <v>0</v>
      </c>
      <c r="CE145" s="1067">
        <f t="shared" si="152"/>
        <v>0</v>
      </c>
      <c r="CF145" s="1067">
        <f t="shared" si="152"/>
        <v>0</v>
      </c>
      <c r="CG145" s="1067">
        <f t="shared" si="152"/>
        <v>0</v>
      </c>
      <c r="CH145" s="1067">
        <f t="shared" si="152"/>
        <v>0</v>
      </c>
      <c r="CI145" s="1067">
        <f t="shared" si="152"/>
        <v>0</v>
      </c>
      <c r="CJ145" s="1067"/>
      <c r="CK145" s="1067">
        <f t="shared" si="161"/>
        <v>0</v>
      </c>
      <c r="CL145" s="1067">
        <f t="shared" si="153"/>
        <v>0</v>
      </c>
      <c r="CM145" s="1082">
        <v>0</v>
      </c>
      <c r="CN145" s="1067">
        <f t="shared" si="154"/>
        <v>0</v>
      </c>
      <c r="CO145" s="1067"/>
      <c r="CP145" s="1067"/>
      <c r="CQ145" s="1067"/>
      <c r="CR145" s="1067"/>
      <c r="CS145" s="1067"/>
      <c r="CT145" s="1067"/>
      <c r="CU145" s="1067"/>
      <c r="CV145" s="1067"/>
      <c r="CW145" s="1067"/>
      <c r="CX145" s="1067"/>
      <c r="CY145" s="1067"/>
      <c r="CZ145" s="1067"/>
      <c r="DA145" s="1067"/>
      <c r="DB145" s="1067"/>
      <c r="DC145" s="1067"/>
      <c r="DD145" s="1067"/>
      <c r="DE145" s="1067"/>
      <c r="DF145" s="1067"/>
      <c r="DG145" s="1067"/>
      <c r="DH145" s="1067"/>
      <c r="DI145" s="1082">
        <v>0</v>
      </c>
      <c r="DJ145" s="1067">
        <f t="shared" si="155"/>
        <v>0</v>
      </c>
      <c r="DK145" s="1067"/>
      <c r="DL145" s="1067"/>
      <c r="DM145" s="1067"/>
      <c r="DN145" s="1067">
        <f t="shared" si="156"/>
        <v>0</v>
      </c>
      <c r="DO145" s="1067">
        <f t="shared" si="156"/>
        <v>0</v>
      </c>
      <c r="DP145" s="1067">
        <f t="shared" si="156"/>
        <v>0</v>
      </c>
      <c r="DQ145" s="1067">
        <f t="shared" si="156"/>
        <v>0</v>
      </c>
      <c r="DR145" s="1067"/>
      <c r="DS145" s="1067">
        <f t="shared" si="157"/>
        <v>0</v>
      </c>
      <c r="DT145" s="1067">
        <f t="shared" si="157"/>
        <v>0</v>
      </c>
      <c r="DU145" s="1067"/>
      <c r="DV145" s="1067">
        <f t="shared" si="158"/>
        <v>0</v>
      </c>
      <c r="DW145" s="1067">
        <f t="shared" si="158"/>
        <v>0</v>
      </c>
      <c r="DX145" s="1067">
        <f t="shared" si="158"/>
        <v>0</v>
      </c>
      <c r="DY145" s="1067">
        <f t="shared" si="159"/>
        <v>0</v>
      </c>
      <c r="DZ145" s="1067">
        <f t="shared" si="159"/>
        <v>0</v>
      </c>
      <c r="EA145" s="1067">
        <f t="shared" si="159"/>
        <v>0</v>
      </c>
      <c r="EB145" s="1067">
        <f t="shared" si="159"/>
        <v>0</v>
      </c>
      <c r="EC145" s="1067"/>
      <c r="ED145" s="1067">
        <f t="shared" si="160"/>
        <v>0</v>
      </c>
    </row>
    <row r="146" spans="1:134" ht="32.25" hidden="1" customHeight="1" x14ac:dyDescent="0.25">
      <c r="A146" s="1560"/>
      <c r="B146" s="989"/>
      <c r="C146" s="1635" t="s">
        <v>4500</v>
      </c>
      <c r="D146" s="1019" t="s">
        <v>4718</v>
      </c>
      <c r="E146" s="994">
        <v>111</v>
      </c>
      <c r="F146" s="1120" t="s">
        <v>4482</v>
      </c>
      <c r="G146" s="1400"/>
      <c r="H146" s="1061">
        <f t="shared" si="143"/>
        <v>661861284</v>
      </c>
      <c r="I146" s="1061">
        <f t="shared" si="144"/>
        <v>463500048</v>
      </c>
      <c r="J146" s="1577"/>
      <c r="K146" s="1580"/>
      <c r="L146" s="1284"/>
      <c r="M146" s="1075"/>
      <c r="N146" s="1075"/>
      <c r="O146" s="1075"/>
      <c r="P146" s="1115">
        <v>42</v>
      </c>
      <c r="Q146" s="1115">
        <v>0</v>
      </c>
      <c r="R146" s="1115">
        <v>0</v>
      </c>
      <c r="S146" s="1120"/>
      <c r="T146" s="1120"/>
      <c r="U146" s="1120"/>
      <c r="V146" s="1120"/>
      <c r="W146" s="1120"/>
      <c r="X146" s="1120"/>
      <c r="Y146" s="1008">
        <f t="shared" si="145"/>
        <v>1125361332</v>
      </c>
      <c r="Z146" s="1008"/>
      <c r="AA146" s="1008"/>
      <c r="AB146" s="1008"/>
      <c r="AC146" s="1008">
        <f>371000000+890000000-104000000-133915719-12442500+39070000</f>
        <v>1049711781</v>
      </c>
      <c r="AD146" s="1008"/>
      <c r="AE146" s="1008"/>
      <c r="AF146" s="1008"/>
      <c r="AG146" s="1008"/>
      <c r="AH146" s="1008"/>
      <c r="AI146" s="1008"/>
      <c r="AJ146" s="1008"/>
      <c r="AK146" s="1008"/>
      <c r="AL146" s="1008"/>
      <c r="AM146" s="1008"/>
      <c r="AN146" s="1008">
        <f>114719551-39070000</f>
        <v>75649551</v>
      </c>
      <c r="AO146" s="1008"/>
      <c r="AP146" s="1008"/>
      <c r="AQ146" s="1008"/>
      <c r="AR146" s="1008"/>
      <c r="AS146" s="1008"/>
      <c r="AT146" s="984"/>
      <c r="AU146" s="1011">
        <f t="shared" si="103"/>
        <v>0.59279626288065845</v>
      </c>
      <c r="AV146" s="1008">
        <f t="shared" si="146"/>
        <v>667109992</v>
      </c>
      <c r="AW146" s="1008"/>
      <c r="AX146" s="1008"/>
      <c r="AY146" s="1008"/>
      <c r="AZ146" s="1008">
        <f>+'[17]SEPTIEMBRE 2015'!$M$130</f>
        <v>667109992</v>
      </c>
      <c r="BA146" s="1008"/>
      <c r="BB146" s="1008"/>
      <c r="BC146" s="1008"/>
      <c r="BD146" s="1008"/>
      <c r="BE146" s="1008"/>
      <c r="BF146" s="1008"/>
      <c r="BG146" s="1008"/>
      <c r="BH146" s="1008"/>
      <c r="BI146" s="1008"/>
      <c r="BJ146" s="1008"/>
      <c r="BK146" s="1008"/>
      <c r="BL146" s="1008"/>
      <c r="BM146" s="1008"/>
      <c r="BN146" s="1008"/>
      <c r="BO146" s="1008"/>
      <c r="BP146" s="1008"/>
      <c r="BQ146" s="1011">
        <f t="shared" si="105"/>
        <v>0.40720373711934155</v>
      </c>
      <c r="BR146" s="1008">
        <f t="shared" si="147"/>
        <v>458251340</v>
      </c>
      <c r="BS146" s="1008">
        <f t="shared" si="148"/>
        <v>0</v>
      </c>
      <c r="BT146" s="1008">
        <f t="shared" si="149"/>
        <v>0</v>
      </c>
      <c r="BU146" s="1008"/>
      <c r="BV146" s="1008">
        <f t="shared" si="150"/>
        <v>382601789</v>
      </c>
      <c r="BW146" s="1008">
        <f t="shared" si="150"/>
        <v>0</v>
      </c>
      <c r="BX146" s="1008">
        <f t="shared" si="151"/>
        <v>0</v>
      </c>
      <c r="BY146" s="1008">
        <f t="shared" si="151"/>
        <v>0</v>
      </c>
      <c r="BZ146" s="1008"/>
      <c r="CA146" s="1008">
        <f t="shared" si="152"/>
        <v>0</v>
      </c>
      <c r="CB146" s="1008">
        <f t="shared" si="152"/>
        <v>0</v>
      </c>
      <c r="CC146" s="1008">
        <f t="shared" si="152"/>
        <v>0</v>
      </c>
      <c r="CD146" s="1008">
        <f t="shared" si="152"/>
        <v>0</v>
      </c>
      <c r="CE146" s="1008">
        <f t="shared" si="152"/>
        <v>0</v>
      </c>
      <c r="CF146" s="1008">
        <f t="shared" si="152"/>
        <v>0</v>
      </c>
      <c r="CG146" s="1008">
        <f t="shared" si="152"/>
        <v>75649551</v>
      </c>
      <c r="CH146" s="1008">
        <f t="shared" si="152"/>
        <v>0</v>
      </c>
      <c r="CI146" s="1008">
        <f t="shared" si="152"/>
        <v>0</v>
      </c>
      <c r="CJ146" s="1008"/>
      <c r="CK146" s="1008">
        <f t="shared" si="161"/>
        <v>0</v>
      </c>
      <c r="CL146" s="1008">
        <f t="shared" si="153"/>
        <v>0</v>
      </c>
      <c r="CM146" s="1011">
        <f t="shared" si="113"/>
        <v>0.58813224266710451</v>
      </c>
      <c r="CN146" s="1008">
        <f t="shared" si="154"/>
        <v>661861284</v>
      </c>
      <c r="CO146" s="1008"/>
      <c r="CP146" s="1008"/>
      <c r="CQ146" s="1008"/>
      <c r="CR146" s="1008">
        <f>+'[17]SEPTIEMBRE 2015'!$H$128</f>
        <v>661861284</v>
      </c>
      <c r="CS146" s="1008"/>
      <c r="CT146" s="1008"/>
      <c r="CU146" s="1008"/>
      <c r="CV146" s="1008"/>
      <c r="CW146" s="1008"/>
      <c r="CX146" s="1008"/>
      <c r="CY146" s="1008"/>
      <c r="CZ146" s="1008"/>
      <c r="DA146" s="1008"/>
      <c r="DB146" s="1008"/>
      <c r="DC146" s="1008"/>
      <c r="DD146" s="1008"/>
      <c r="DE146" s="1008"/>
      <c r="DF146" s="1008"/>
      <c r="DG146" s="1008"/>
      <c r="DH146" s="1008"/>
      <c r="DI146" s="1011">
        <f t="shared" si="115"/>
        <v>0.41186775733289549</v>
      </c>
      <c r="DJ146" s="1008">
        <f t="shared" si="155"/>
        <v>463500048</v>
      </c>
      <c r="DK146" s="1008"/>
      <c r="DL146" s="1008"/>
      <c r="DM146" s="1008"/>
      <c r="DN146" s="1008">
        <f t="shared" si="156"/>
        <v>387850497</v>
      </c>
      <c r="DO146" s="1008">
        <f t="shared" si="156"/>
        <v>0</v>
      </c>
      <c r="DP146" s="1008">
        <f t="shared" si="156"/>
        <v>0</v>
      </c>
      <c r="DQ146" s="1008">
        <f t="shared" si="156"/>
        <v>0</v>
      </c>
      <c r="DR146" s="1008"/>
      <c r="DS146" s="1008">
        <f t="shared" si="157"/>
        <v>0</v>
      </c>
      <c r="DT146" s="1008">
        <f t="shared" si="157"/>
        <v>0</v>
      </c>
      <c r="DU146" s="1008"/>
      <c r="DV146" s="1008">
        <f t="shared" si="158"/>
        <v>0</v>
      </c>
      <c r="DW146" s="1008">
        <f t="shared" si="158"/>
        <v>0</v>
      </c>
      <c r="DX146" s="1008">
        <f t="shared" si="158"/>
        <v>0</v>
      </c>
      <c r="DY146" s="1008">
        <f t="shared" si="159"/>
        <v>75649551</v>
      </c>
      <c r="DZ146" s="1008">
        <f t="shared" si="159"/>
        <v>0</v>
      </c>
      <c r="EA146" s="1008">
        <f t="shared" si="159"/>
        <v>0</v>
      </c>
      <c r="EB146" s="1008">
        <f t="shared" si="159"/>
        <v>0</v>
      </c>
      <c r="EC146" s="1008"/>
      <c r="ED146" s="1008">
        <f t="shared" si="160"/>
        <v>0</v>
      </c>
    </row>
    <row r="147" spans="1:134" ht="52.5" hidden="1" customHeight="1" x14ac:dyDescent="0.25">
      <c r="A147" s="1560"/>
      <c r="B147" s="989"/>
      <c r="C147" s="1635" t="s">
        <v>4501</v>
      </c>
      <c r="D147" s="1019" t="s">
        <v>4745</v>
      </c>
      <c r="E147" s="994">
        <v>111</v>
      </c>
      <c r="F147" s="1120" t="s">
        <v>4482</v>
      </c>
      <c r="G147" s="1400"/>
      <c r="H147" s="1061">
        <f t="shared" si="143"/>
        <v>239600131</v>
      </c>
      <c r="I147" s="1061">
        <f t="shared" si="144"/>
        <v>999869</v>
      </c>
      <c r="J147" s="1575">
        <v>184</v>
      </c>
      <c r="K147" s="1578">
        <v>317</v>
      </c>
      <c r="L147" s="1283">
        <v>198</v>
      </c>
      <c r="M147" s="1115">
        <v>0</v>
      </c>
      <c r="N147" s="1115">
        <v>0</v>
      </c>
      <c r="O147" s="1115">
        <v>0</v>
      </c>
      <c r="P147" s="1115">
        <v>0</v>
      </c>
      <c r="Q147" s="1115">
        <v>0</v>
      </c>
      <c r="R147" s="1115">
        <v>0</v>
      </c>
      <c r="S147" s="1120"/>
      <c r="T147" s="1120"/>
      <c r="U147" s="1120"/>
      <c r="V147" s="1120"/>
      <c r="W147" s="1120"/>
      <c r="X147" s="1120"/>
      <c r="Y147" s="1008">
        <f t="shared" si="145"/>
        <v>240600000</v>
      </c>
      <c r="Z147" s="1008"/>
      <c r="AA147" s="1008"/>
      <c r="AB147" s="1008"/>
      <c r="AC147" s="1008">
        <f>540600000-300000000</f>
        <v>240600000</v>
      </c>
      <c r="AD147" s="1008"/>
      <c r="AE147" s="1008"/>
      <c r="AF147" s="1008"/>
      <c r="AG147" s="1008"/>
      <c r="AH147" s="1008"/>
      <c r="AI147" s="1008"/>
      <c r="AJ147" s="1008"/>
      <c r="AK147" s="1008"/>
      <c r="AL147" s="1008"/>
      <c r="AM147" s="1008"/>
      <c r="AN147" s="1008"/>
      <c r="AO147" s="1008"/>
      <c r="AP147" s="1008"/>
      <c r="AQ147" s="1008"/>
      <c r="AR147" s="1008"/>
      <c r="AS147" s="1008"/>
      <c r="AT147" s="984"/>
      <c r="AU147" s="1011">
        <f t="shared" si="103"/>
        <v>0.99584426849542806</v>
      </c>
      <c r="AV147" s="1008">
        <f t="shared" si="146"/>
        <v>239600131</v>
      </c>
      <c r="AW147" s="1008"/>
      <c r="AX147" s="1008"/>
      <c r="AY147" s="1008"/>
      <c r="AZ147" s="1008">
        <f>+'[17]SEPTIEMBRE 2015'!$M$152</f>
        <v>239600131</v>
      </c>
      <c r="BA147" s="1008"/>
      <c r="BB147" s="1008"/>
      <c r="BC147" s="1008"/>
      <c r="BD147" s="1008"/>
      <c r="BE147" s="1008"/>
      <c r="BF147" s="1008"/>
      <c r="BG147" s="1008"/>
      <c r="BH147" s="1008"/>
      <c r="BI147" s="1008"/>
      <c r="BJ147" s="1008"/>
      <c r="BK147" s="1008"/>
      <c r="BL147" s="1008"/>
      <c r="BM147" s="1008"/>
      <c r="BN147" s="1008"/>
      <c r="BO147" s="1008"/>
      <c r="BP147" s="1008"/>
      <c r="BQ147" s="1011">
        <f t="shared" si="105"/>
        <v>4.1557315045719356E-3</v>
      </c>
      <c r="BR147" s="1008">
        <f t="shared" si="147"/>
        <v>999869</v>
      </c>
      <c r="BS147" s="1008">
        <f t="shared" si="148"/>
        <v>0</v>
      </c>
      <c r="BT147" s="1008">
        <f t="shared" si="149"/>
        <v>0</v>
      </c>
      <c r="BU147" s="1008"/>
      <c r="BV147" s="1008">
        <f t="shared" si="150"/>
        <v>999869</v>
      </c>
      <c r="BW147" s="1008">
        <f t="shared" si="150"/>
        <v>0</v>
      </c>
      <c r="BX147" s="1008">
        <f t="shared" si="151"/>
        <v>0</v>
      </c>
      <c r="BY147" s="1008">
        <f t="shared" si="151"/>
        <v>0</v>
      </c>
      <c r="BZ147" s="1008"/>
      <c r="CA147" s="1008">
        <f t="shared" si="152"/>
        <v>0</v>
      </c>
      <c r="CB147" s="1008">
        <f t="shared" si="152"/>
        <v>0</v>
      </c>
      <c r="CC147" s="1008">
        <f t="shared" si="152"/>
        <v>0</v>
      </c>
      <c r="CD147" s="1008">
        <f t="shared" si="152"/>
        <v>0</v>
      </c>
      <c r="CE147" s="1008">
        <f t="shared" si="152"/>
        <v>0</v>
      </c>
      <c r="CF147" s="1008">
        <f t="shared" si="152"/>
        <v>0</v>
      </c>
      <c r="CG147" s="1008">
        <f t="shared" si="152"/>
        <v>0</v>
      </c>
      <c r="CH147" s="1008">
        <f t="shared" si="152"/>
        <v>0</v>
      </c>
      <c r="CI147" s="1008">
        <f t="shared" si="152"/>
        <v>0</v>
      </c>
      <c r="CJ147" s="1008"/>
      <c r="CK147" s="1008">
        <f t="shared" si="161"/>
        <v>0</v>
      </c>
      <c r="CL147" s="1008">
        <f t="shared" si="153"/>
        <v>0</v>
      </c>
      <c r="CM147" s="1011">
        <f t="shared" si="113"/>
        <v>0.99584426849542806</v>
      </c>
      <c r="CN147" s="1008">
        <f t="shared" si="154"/>
        <v>239600131</v>
      </c>
      <c r="CO147" s="1008"/>
      <c r="CP147" s="1008"/>
      <c r="CQ147" s="1008"/>
      <c r="CR147" s="1008">
        <f>+'[15]JULIO 2015'!$H$138</f>
        <v>239600131</v>
      </c>
      <c r="CS147" s="1008"/>
      <c r="CT147" s="1008"/>
      <c r="CU147" s="1008"/>
      <c r="CV147" s="1008"/>
      <c r="CW147" s="1008"/>
      <c r="CX147" s="1008"/>
      <c r="CY147" s="1008"/>
      <c r="CZ147" s="1008"/>
      <c r="DA147" s="1008"/>
      <c r="DB147" s="1008"/>
      <c r="DC147" s="1008"/>
      <c r="DD147" s="1008"/>
      <c r="DE147" s="1008"/>
      <c r="DF147" s="1008"/>
      <c r="DG147" s="1008"/>
      <c r="DH147" s="1008"/>
      <c r="DI147" s="1011">
        <f t="shared" si="115"/>
        <v>4.1557315045719356E-3</v>
      </c>
      <c r="DJ147" s="1008">
        <f t="shared" si="155"/>
        <v>999869</v>
      </c>
      <c r="DK147" s="1008"/>
      <c r="DL147" s="1008"/>
      <c r="DM147" s="1008"/>
      <c r="DN147" s="1008">
        <f t="shared" si="156"/>
        <v>999869</v>
      </c>
      <c r="DO147" s="1008">
        <f t="shared" si="156"/>
        <v>0</v>
      </c>
      <c r="DP147" s="1008">
        <f t="shared" si="156"/>
        <v>0</v>
      </c>
      <c r="DQ147" s="1008">
        <f t="shared" si="156"/>
        <v>0</v>
      </c>
      <c r="DR147" s="1008"/>
      <c r="DS147" s="1008">
        <f t="shared" si="157"/>
        <v>0</v>
      </c>
      <c r="DT147" s="1008">
        <f t="shared" si="157"/>
        <v>0</v>
      </c>
      <c r="DU147" s="1008"/>
      <c r="DV147" s="1008">
        <f t="shared" si="158"/>
        <v>0</v>
      </c>
      <c r="DW147" s="1008">
        <f t="shared" si="158"/>
        <v>0</v>
      </c>
      <c r="DX147" s="1008">
        <f t="shared" si="158"/>
        <v>0</v>
      </c>
      <c r="DY147" s="1008">
        <f t="shared" si="159"/>
        <v>0</v>
      </c>
      <c r="DZ147" s="1008">
        <f t="shared" si="159"/>
        <v>0</v>
      </c>
      <c r="EA147" s="1008">
        <f t="shared" si="159"/>
        <v>0</v>
      </c>
      <c r="EB147" s="1008">
        <f t="shared" si="159"/>
        <v>0</v>
      </c>
      <c r="EC147" s="1008"/>
      <c r="ED147" s="1008">
        <f t="shared" si="160"/>
        <v>0</v>
      </c>
    </row>
    <row r="148" spans="1:134" s="203" customFormat="1" ht="61.5" hidden="1" customHeight="1" x14ac:dyDescent="0.25">
      <c r="A148" s="1560"/>
      <c r="B148" s="989"/>
      <c r="C148" s="1631" t="s">
        <v>4502</v>
      </c>
      <c r="D148" s="1019" t="s">
        <v>4484</v>
      </c>
      <c r="E148" s="989">
        <v>111</v>
      </c>
      <c r="F148" s="1120" t="s">
        <v>4482</v>
      </c>
      <c r="G148" s="1400"/>
      <c r="H148" s="1061">
        <f t="shared" si="143"/>
        <v>0</v>
      </c>
      <c r="I148" s="1061">
        <f t="shared" si="144"/>
        <v>0</v>
      </c>
      <c r="J148" s="1577"/>
      <c r="K148" s="1580"/>
      <c r="L148" s="1284"/>
      <c r="M148" s="1075">
        <v>0</v>
      </c>
      <c r="N148" s="1075">
        <v>0</v>
      </c>
      <c r="O148" s="1075">
        <v>0</v>
      </c>
      <c r="P148" s="1075"/>
      <c r="Q148" s="1075"/>
      <c r="R148" s="1075"/>
      <c r="S148" s="1120"/>
      <c r="T148" s="1120"/>
      <c r="U148" s="1120"/>
      <c r="V148" s="1120"/>
      <c r="W148" s="1120"/>
      <c r="X148" s="1120"/>
      <c r="Y148" s="1067">
        <f t="shared" si="145"/>
        <v>0</v>
      </c>
      <c r="Z148" s="1067"/>
      <c r="AA148" s="1067"/>
      <c r="AB148" s="1067"/>
      <c r="AC148" s="1067">
        <f>2968000000-968000000-897000000-103000000-1000000000</f>
        <v>0</v>
      </c>
      <c r="AD148" s="1067"/>
      <c r="AE148" s="1067"/>
      <c r="AF148" s="1067"/>
      <c r="AG148" s="1067"/>
      <c r="AH148" s="1067"/>
      <c r="AI148" s="1067"/>
      <c r="AJ148" s="1067"/>
      <c r="AK148" s="1067"/>
      <c r="AL148" s="1067"/>
      <c r="AM148" s="1067"/>
      <c r="AN148" s="1067"/>
      <c r="AO148" s="1067"/>
      <c r="AP148" s="1067"/>
      <c r="AQ148" s="1067"/>
      <c r="AR148" s="1067"/>
      <c r="AS148" s="1067"/>
      <c r="AT148" s="1089"/>
      <c r="AU148" s="1082" t="e">
        <f t="shared" si="103"/>
        <v>#DIV/0!</v>
      </c>
      <c r="AV148" s="1067">
        <f t="shared" si="146"/>
        <v>0</v>
      </c>
      <c r="AW148" s="1067"/>
      <c r="AX148" s="1067"/>
      <c r="AY148" s="1067"/>
      <c r="AZ148" s="1067"/>
      <c r="BA148" s="1067"/>
      <c r="BB148" s="1067"/>
      <c r="BC148" s="1067"/>
      <c r="BD148" s="1067"/>
      <c r="BE148" s="1067"/>
      <c r="BF148" s="1067"/>
      <c r="BG148" s="1067"/>
      <c r="BH148" s="1067"/>
      <c r="BI148" s="1067"/>
      <c r="BJ148" s="1067"/>
      <c r="BK148" s="1067"/>
      <c r="BL148" s="1067"/>
      <c r="BM148" s="1067"/>
      <c r="BN148" s="1067"/>
      <c r="BO148" s="1067"/>
      <c r="BP148" s="1067"/>
      <c r="BQ148" s="1082" t="e">
        <f t="shared" si="105"/>
        <v>#DIV/0!</v>
      </c>
      <c r="BR148" s="1067">
        <f t="shared" si="147"/>
        <v>0</v>
      </c>
      <c r="BS148" s="1067">
        <f t="shared" si="148"/>
        <v>0</v>
      </c>
      <c r="BT148" s="1067">
        <f t="shared" si="149"/>
        <v>0</v>
      </c>
      <c r="BU148" s="1067"/>
      <c r="BV148" s="1067">
        <f t="shared" si="150"/>
        <v>0</v>
      </c>
      <c r="BW148" s="1067">
        <f t="shared" si="150"/>
        <v>0</v>
      </c>
      <c r="BX148" s="1067">
        <f t="shared" si="151"/>
        <v>0</v>
      </c>
      <c r="BY148" s="1067">
        <f t="shared" si="151"/>
        <v>0</v>
      </c>
      <c r="BZ148" s="1067"/>
      <c r="CA148" s="1067">
        <f t="shared" si="152"/>
        <v>0</v>
      </c>
      <c r="CB148" s="1067">
        <f t="shared" si="152"/>
        <v>0</v>
      </c>
      <c r="CC148" s="1067">
        <f t="shared" si="152"/>
        <v>0</v>
      </c>
      <c r="CD148" s="1067">
        <f t="shared" si="152"/>
        <v>0</v>
      </c>
      <c r="CE148" s="1067">
        <f t="shared" si="152"/>
        <v>0</v>
      </c>
      <c r="CF148" s="1067">
        <f t="shared" si="152"/>
        <v>0</v>
      </c>
      <c r="CG148" s="1067">
        <f t="shared" si="152"/>
        <v>0</v>
      </c>
      <c r="CH148" s="1067">
        <f t="shared" si="152"/>
        <v>0</v>
      </c>
      <c r="CI148" s="1067">
        <f t="shared" si="152"/>
        <v>0</v>
      </c>
      <c r="CJ148" s="1067"/>
      <c r="CK148" s="1067">
        <f t="shared" si="161"/>
        <v>0</v>
      </c>
      <c r="CL148" s="1067">
        <f t="shared" si="153"/>
        <v>0</v>
      </c>
      <c r="CM148" s="1082" t="e">
        <f t="shared" si="113"/>
        <v>#DIV/0!</v>
      </c>
      <c r="CN148" s="1067">
        <f t="shared" si="154"/>
        <v>0</v>
      </c>
      <c r="CO148" s="1067"/>
      <c r="CP148" s="1067"/>
      <c r="CQ148" s="1067"/>
      <c r="CR148" s="1067"/>
      <c r="CS148" s="1067"/>
      <c r="CT148" s="1067"/>
      <c r="CU148" s="1067"/>
      <c r="CV148" s="1067"/>
      <c r="CW148" s="1067"/>
      <c r="CX148" s="1067"/>
      <c r="CY148" s="1067"/>
      <c r="CZ148" s="1067"/>
      <c r="DA148" s="1067"/>
      <c r="DB148" s="1067"/>
      <c r="DC148" s="1067"/>
      <c r="DD148" s="1067"/>
      <c r="DE148" s="1067"/>
      <c r="DF148" s="1067"/>
      <c r="DG148" s="1067"/>
      <c r="DH148" s="1067"/>
      <c r="DI148" s="1082" t="e">
        <f t="shared" si="115"/>
        <v>#DIV/0!</v>
      </c>
      <c r="DJ148" s="1067">
        <f t="shared" si="155"/>
        <v>0</v>
      </c>
      <c r="DK148" s="1067"/>
      <c r="DL148" s="1067"/>
      <c r="DM148" s="1067"/>
      <c r="DN148" s="1067">
        <f t="shared" si="156"/>
        <v>0</v>
      </c>
      <c r="DO148" s="1067">
        <f t="shared" si="156"/>
        <v>0</v>
      </c>
      <c r="DP148" s="1067">
        <f t="shared" si="156"/>
        <v>0</v>
      </c>
      <c r="DQ148" s="1067">
        <f t="shared" si="156"/>
        <v>0</v>
      </c>
      <c r="DR148" s="1067"/>
      <c r="DS148" s="1067">
        <f t="shared" si="157"/>
        <v>0</v>
      </c>
      <c r="DT148" s="1067">
        <f t="shared" si="157"/>
        <v>0</v>
      </c>
      <c r="DU148" s="1067"/>
      <c r="DV148" s="1067">
        <f t="shared" si="158"/>
        <v>0</v>
      </c>
      <c r="DW148" s="1067">
        <f t="shared" si="158"/>
        <v>0</v>
      </c>
      <c r="DX148" s="1067">
        <f t="shared" si="158"/>
        <v>0</v>
      </c>
      <c r="DY148" s="1067">
        <f t="shared" si="159"/>
        <v>0</v>
      </c>
      <c r="DZ148" s="1067">
        <f t="shared" si="159"/>
        <v>0</v>
      </c>
      <c r="EA148" s="1067">
        <f t="shared" si="159"/>
        <v>0</v>
      </c>
      <c r="EB148" s="1067">
        <f t="shared" si="159"/>
        <v>0</v>
      </c>
      <c r="EC148" s="1067"/>
      <c r="ED148" s="1067">
        <f t="shared" si="160"/>
        <v>0</v>
      </c>
    </row>
    <row r="149" spans="1:134" ht="64.5" hidden="1" customHeight="1" x14ac:dyDescent="0.25">
      <c r="A149" s="1560"/>
      <c r="B149" s="989"/>
      <c r="C149" s="1635" t="s">
        <v>4503</v>
      </c>
      <c r="D149" s="1019" t="s">
        <v>4483</v>
      </c>
      <c r="E149" s="994">
        <v>111</v>
      </c>
      <c r="F149" s="1120" t="s">
        <v>4742</v>
      </c>
      <c r="G149" s="1400"/>
      <c r="H149" s="1061">
        <f t="shared" si="143"/>
        <v>55483385</v>
      </c>
      <c r="I149" s="1061">
        <f t="shared" si="144"/>
        <v>16631615</v>
      </c>
      <c r="J149" s="1399">
        <v>3</v>
      </c>
      <c r="K149" s="1283" t="s">
        <v>4928</v>
      </c>
      <c r="L149" s="1283">
        <v>3</v>
      </c>
      <c r="M149" s="1091"/>
      <c r="N149" s="1091"/>
      <c r="O149" s="1091"/>
      <c r="P149" s="1115">
        <v>0</v>
      </c>
      <c r="Q149" s="1115">
        <v>0</v>
      </c>
      <c r="R149" s="1115">
        <v>0</v>
      </c>
      <c r="S149" s="1120"/>
      <c r="T149" s="1120"/>
      <c r="U149" s="1120"/>
      <c r="V149" s="1120"/>
      <c r="W149" s="1120"/>
      <c r="X149" s="1120"/>
      <c r="Y149" s="1008">
        <f t="shared" si="145"/>
        <v>72115000</v>
      </c>
      <c r="Z149" s="1008"/>
      <c r="AA149" s="1008"/>
      <c r="AB149" s="1008"/>
      <c r="AC149" s="1008"/>
      <c r="AD149" s="1008"/>
      <c r="AE149" s="1008"/>
      <c r="AF149" s="1008"/>
      <c r="AG149" s="1008"/>
      <c r="AH149" s="1008"/>
      <c r="AI149" s="1008"/>
      <c r="AJ149" s="1008"/>
      <c r="AK149" s="1008"/>
      <c r="AL149" s="1008"/>
      <c r="AM149" s="1008"/>
      <c r="AN149" s="1008"/>
      <c r="AO149" s="1008"/>
      <c r="AP149" s="1008"/>
      <c r="AQ149" s="1008"/>
      <c r="AR149" s="1008"/>
      <c r="AS149" s="1008">
        <f>587519551+2000000+10000000+37000000-597519551+46500000-13385000</f>
        <v>72115000</v>
      </c>
      <c r="AT149" s="984"/>
      <c r="AU149" s="1011">
        <f t="shared" si="103"/>
        <v>1</v>
      </c>
      <c r="AV149" s="1008">
        <f t="shared" si="146"/>
        <v>72115000</v>
      </c>
      <c r="AW149" s="1008"/>
      <c r="AX149" s="1008"/>
      <c r="AY149" s="1008"/>
      <c r="AZ149" s="1008"/>
      <c r="BA149" s="1008"/>
      <c r="BB149" s="1008"/>
      <c r="BC149" s="1008"/>
      <c r="BD149" s="1008"/>
      <c r="BE149" s="1008"/>
      <c r="BF149" s="1008"/>
      <c r="BG149" s="1008"/>
      <c r="BH149" s="1008"/>
      <c r="BI149" s="1008"/>
      <c r="BJ149" s="1008"/>
      <c r="BK149" s="1008"/>
      <c r="BL149" s="1008"/>
      <c r="BM149" s="1008"/>
      <c r="BN149" s="1008"/>
      <c r="BO149" s="1008"/>
      <c r="BP149" s="1008">
        <f>+'[16]AGOSTO 2015'!$G$156</f>
        <v>72115000</v>
      </c>
      <c r="BQ149" s="1011">
        <f t="shared" si="105"/>
        <v>0</v>
      </c>
      <c r="BR149" s="1008">
        <f t="shared" si="147"/>
        <v>0</v>
      </c>
      <c r="BS149" s="1008">
        <f t="shared" si="148"/>
        <v>0</v>
      </c>
      <c r="BT149" s="1008">
        <f t="shared" si="149"/>
        <v>0</v>
      </c>
      <c r="BU149" s="1008"/>
      <c r="BV149" s="1008">
        <f t="shared" si="150"/>
        <v>0</v>
      </c>
      <c r="BW149" s="1008">
        <f t="shared" si="150"/>
        <v>0</v>
      </c>
      <c r="BX149" s="1008">
        <f t="shared" si="151"/>
        <v>0</v>
      </c>
      <c r="BY149" s="1008">
        <f t="shared" si="151"/>
        <v>0</v>
      </c>
      <c r="BZ149" s="1008"/>
      <c r="CA149" s="1008">
        <f t="shared" si="152"/>
        <v>0</v>
      </c>
      <c r="CB149" s="1008">
        <f t="shared" si="152"/>
        <v>0</v>
      </c>
      <c r="CC149" s="1008">
        <f t="shared" si="152"/>
        <v>0</v>
      </c>
      <c r="CD149" s="1008">
        <f t="shared" si="152"/>
        <v>0</v>
      </c>
      <c r="CE149" s="1008">
        <f t="shared" si="152"/>
        <v>0</v>
      </c>
      <c r="CF149" s="1008">
        <f t="shared" si="152"/>
        <v>0</v>
      </c>
      <c r="CG149" s="1008">
        <f t="shared" si="152"/>
        <v>0</v>
      </c>
      <c r="CH149" s="1008">
        <f t="shared" si="152"/>
        <v>0</v>
      </c>
      <c r="CI149" s="1008">
        <f t="shared" si="152"/>
        <v>0</v>
      </c>
      <c r="CJ149" s="1008"/>
      <c r="CK149" s="1008">
        <f t="shared" si="161"/>
        <v>0</v>
      </c>
      <c r="CL149" s="1008">
        <f t="shared" si="153"/>
        <v>0</v>
      </c>
      <c r="CM149" s="1011">
        <f t="shared" si="113"/>
        <v>0.7693737086597795</v>
      </c>
      <c r="CN149" s="1008">
        <f t="shared" si="154"/>
        <v>55483385</v>
      </c>
      <c r="CO149" s="1008"/>
      <c r="CP149" s="1008"/>
      <c r="CQ149" s="1008"/>
      <c r="CR149" s="1008"/>
      <c r="CS149" s="1008"/>
      <c r="CT149" s="1008"/>
      <c r="CU149" s="1008"/>
      <c r="CV149" s="1008"/>
      <c r="CW149" s="1008"/>
      <c r="CX149" s="1008"/>
      <c r="CY149" s="1008"/>
      <c r="CZ149" s="1008"/>
      <c r="DA149" s="1008"/>
      <c r="DB149" s="1008"/>
      <c r="DC149" s="1008"/>
      <c r="DD149" s="1008"/>
      <c r="DE149" s="1008"/>
      <c r="DF149" s="1008"/>
      <c r="DG149" s="1008"/>
      <c r="DH149" s="1008">
        <f>+'[18]OCTUBRE 2015'!$H$167</f>
        <v>55483385</v>
      </c>
      <c r="DI149" s="1011">
        <f t="shared" si="115"/>
        <v>0.2306262913402205</v>
      </c>
      <c r="DJ149" s="1008">
        <f t="shared" si="155"/>
        <v>16631615</v>
      </c>
      <c r="DK149" s="1008"/>
      <c r="DL149" s="1008"/>
      <c r="DM149" s="1008"/>
      <c r="DN149" s="1008">
        <f t="shared" si="156"/>
        <v>0</v>
      </c>
      <c r="DO149" s="1008">
        <f t="shared" si="156"/>
        <v>0</v>
      </c>
      <c r="DP149" s="1008">
        <f t="shared" si="156"/>
        <v>0</v>
      </c>
      <c r="DQ149" s="1008">
        <f t="shared" si="156"/>
        <v>0</v>
      </c>
      <c r="DR149" s="1008"/>
      <c r="DS149" s="1008">
        <f t="shared" si="157"/>
        <v>0</v>
      </c>
      <c r="DT149" s="1008">
        <f t="shared" si="157"/>
        <v>0</v>
      </c>
      <c r="DU149" s="1008"/>
      <c r="DV149" s="1008">
        <f t="shared" si="158"/>
        <v>0</v>
      </c>
      <c r="DW149" s="1008">
        <f t="shared" si="158"/>
        <v>0</v>
      </c>
      <c r="DX149" s="1008">
        <f t="shared" si="158"/>
        <v>0</v>
      </c>
      <c r="DY149" s="1008">
        <f t="shared" si="159"/>
        <v>0</v>
      </c>
      <c r="DZ149" s="1008">
        <f t="shared" si="159"/>
        <v>0</v>
      </c>
      <c r="EA149" s="1008">
        <f t="shared" si="159"/>
        <v>0</v>
      </c>
      <c r="EB149" s="1008">
        <f t="shared" si="159"/>
        <v>0</v>
      </c>
      <c r="EC149" s="1008"/>
      <c r="ED149" s="1008">
        <f t="shared" si="160"/>
        <v>16631615</v>
      </c>
    </row>
    <row r="150" spans="1:134" s="203" customFormat="1" ht="33.75" hidden="1" customHeight="1" x14ac:dyDescent="0.25">
      <c r="A150" s="1560"/>
      <c r="B150" s="989"/>
      <c r="C150" s="1631" t="s">
        <v>4710</v>
      </c>
      <c r="D150" s="1019" t="s">
        <v>4711</v>
      </c>
      <c r="E150" s="989">
        <v>111</v>
      </c>
      <c r="F150" s="1120" t="s">
        <v>4482</v>
      </c>
      <c r="G150" s="1400"/>
      <c r="H150" s="1061">
        <f t="shared" si="143"/>
        <v>0</v>
      </c>
      <c r="I150" s="1061">
        <f t="shared" si="144"/>
        <v>0</v>
      </c>
      <c r="J150" s="1401"/>
      <c r="K150" s="1284"/>
      <c r="L150" s="1284"/>
      <c r="M150" s="1075">
        <v>0</v>
      </c>
      <c r="N150" s="1075">
        <v>0</v>
      </c>
      <c r="O150" s="1075">
        <v>0</v>
      </c>
      <c r="P150" s="1075"/>
      <c r="Q150" s="1075"/>
      <c r="R150" s="1075"/>
      <c r="S150" s="1120"/>
      <c r="T150" s="1120"/>
      <c r="U150" s="1120"/>
      <c r="V150" s="1120"/>
      <c r="W150" s="1120"/>
      <c r="X150" s="1120"/>
      <c r="Y150" s="1067">
        <f t="shared" si="145"/>
        <v>0</v>
      </c>
      <c r="Z150" s="1067"/>
      <c r="AA150" s="1067"/>
      <c r="AB150" s="1067"/>
      <c r="AC150" s="1067">
        <f>400000000-400000000</f>
        <v>0</v>
      </c>
      <c r="AD150" s="1067"/>
      <c r="AE150" s="1067"/>
      <c r="AF150" s="1067"/>
      <c r="AG150" s="1067"/>
      <c r="AH150" s="1067"/>
      <c r="AI150" s="1067"/>
      <c r="AJ150" s="1067"/>
      <c r="AK150" s="1067"/>
      <c r="AL150" s="1067"/>
      <c r="AM150" s="1067"/>
      <c r="AN150" s="1067"/>
      <c r="AO150" s="1067"/>
      <c r="AP150" s="1067"/>
      <c r="AQ150" s="1067"/>
      <c r="AR150" s="1067"/>
      <c r="AS150" s="1067"/>
      <c r="AT150" s="1090"/>
      <c r="AU150" s="1082">
        <v>0</v>
      </c>
      <c r="AV150" s="1067">
        <f t="shared" si="146"/>
        <v>0</v>
      </c>
      <c r="AW150" s="1067"/>
      <c r="AX150" s="1067"/>
      <c r="AY150" s="1067"/>
      <c r="AZ150" s="1067"/>
      <c r="BA150" s="1067"/>
      <c r="BB150" s="1067"/>
      <c r="BC150" s="1067"/>
      <c r="BD150" s="1067"/>
      <c r="BE150" s="1067"/>
      <c r="BF150" s="1067"/>
      <c r="BG150" s="1067"/>
      <c r="BH150" s="1067"/>
      <c r="BI150" s="1067"/>
      <c r="BJ150" s="1067"/>
      <c r="BK150" s="1067"/>
      <c r="BL150" s="1067"/>
      <c r="BM150" s="1067"/>
      <c r="BN150" s="1067"/>
      <c r="BO150" s="1067"/>
      <c r="BP150" s="1067"/>
      <c r="BQ150" s="1082">
        <v>0</v>
      </c>
      <c r="BR150" s="1067">
        <f t="shared" si="147"/>
        <v>0</v>
      </c>
      <c r="BS150" s="1067"/>
      <c r="BT150" s="1067"/>
      <c r="BU150" s="1067"/>
      <c r="BV150" s="1067">
        <f t="shared" ref="BV150:BW193" si="162">AC150-AZ150</f>
        <v>0</v>
      </c>
      <c r="BW150" s="1067"/>
      <c r="BX150" s="1067"/>
      <c r="BY150" s="1067"/>
      <c r="BZ150" s="1067"/>
      <c r="CA150" s="1067"/>
      <c r="CB150" s="1067"/>
      <c r="CC150" s="1067"/>
      <c r="CD150" s="1067"/>
      <c r="CE150" s="1067"/>
      <c r="CF150" s="1067"/>
      <c r="CG150" s="1067"/>
      <c r="CH150" s="1067"/>
      <c r="CI150" s="1067"/>
      <c r="CJ150" s="1067"/>
      <c r="CK150" s="1067"/>
      <c r="CL150" s="1067"/>
      <c r="CM150" s="1082">
        <v>0</v>
      </c>
      <c r="CN150" s="1067">
        <f t="shared" si="154"/>
        <v>0</v>
      </c>
      <c r="CO150" s="1067"/>
      <c r="CP150" s="1067"/>
      <c r="CQ150" s="1067"/>
      <c r="CR150" s="1067"/>
      <c r="CS150" s="1067"/>
      <c r="CT150" s="1067"/>
      <c r="CU150" s="1067"/>
      <c r="CV150" s="1067"/>
      <c r="CW150" s="1067"/>
      <c r="CX150" s="1067"/>
      <c r="CY150" s="1067"/>
      <c r="CZ150" s="1067"/>
      <c r="DA150" s="1067"/>
      <c r="DB150" s="1067"/>
      <c r="DC150" s="1067"/>
      <c r="DD150" s="1067"/>
      <c r="DE150" s="1067"/>
      <c r="DF150" s="1067"/>
      <c r="DG150" s="1067"/>
      <c r="DH150" s="1067"/>
      <c r="DI150" s="1082">
        <v>0</v>
      </c>
      <c r="DJ150" s="1067">
        <f t="shared" si="155"/>
        <v>0</v>
      </c>
      <c r="DK150" s="1067"/>
      <c r="DL150" s="1067"/>
      <c r="DM150" s="1067"/>
      <c r="DN150" s="1067">
        <f t="shared" ref="DN150:DQ193" si="163">AC150-CR150</f>
        <v>0</v>
      </c>
      <c r="DO150" s="1067"/>
      <c r="DP150" s="1067"/>
      <c r="DQ150" s="1067"/>
      <c r="DR150" s="1067"/>
      <c r="DS150" s="1067"/>
      <c r="DT150" s="1067"/>
      <c r="DU150" s="1067"/>
      <c r="DV150" s="1067"/>
      <c r="DW150" s="1067"/>
      <c r="DX150" s="1067"/>
      <c r="DY150" s="1067"/>
      <c r="DZ150" s="1067"/>
      <c r="EA150" s="1067"/>
      <c r="EB150" s="1067"/>
      <c r="EC150" s="1067"/>
      <c r="ED150" s="1067"/>
    </row>
    <row r="151" spans="1:134" ht="64.5" hidden="1" customHeight="1" x14ac:dyDescent="0.25">
      <c r="A151" s="1560"/>
      <c r="B151" s="989" t="s">
        <v>4450</v>
      </c>
      <c r="C151" s="1635" t="s">
        <v>4513</v>
      </c>
      <c r="D151" s="1019" t="s">
        <v>4549</v>
      </c>
      <c r="E151" s="994">
        <v>211</v>
      </c>
      <c r="F151" s="1120" t="s">
        <v>4482</v>
      </c>
      <c r="G151" s="1400"/>
      <c r="H151" s="1061">
        <f t="shared" si="143"/>
        <v>189556618</v>
      </c>
      <c r="I151" s="1061">
        <f t="shared" si="144"/>
        <v>0</v>
      </c>
      <c r="J151" s="1399">
        <v>117</v>
      </c>
      <c r="K151" s="1283">
        <v>127</v>
      </c>
      <c r="L151" s="1283">
        <v>118</v>
      </c>
      <c r="M151" s="1115">
        <v>0</v>
      </c>
      <c r="N151" s="1115">
        <v>0</v>
      </c>
      <c r="O151" s="1115">
        <v>0</v>
      </c>
      <c r="P151" s="1115">
        <v>100</v>
      </c>
      <c r="Q151" s="1115">
        <v>100</v>
      </c>
      <c r="R151" s="1115">
        <v>100</v>
      </c>
      <c r="S151" s="1120"/>
      <c r="T151" s="1120"/>
      <c r="U151" s="1120"/>
      <c r="V151" s="1120"/>
      <c r="W151" s="1120"/>
      <c r="X151" s="1120"/>
      <c r="Y151" s="1008">
        <f t="shared" si="145"/>
        <v>189556618</v>
      </c>
      <c r="Z151" s="1008"/>
      <c r="AA151" s="1008"/>
      <c r="AB151" s="1008"/>
      <c r="AC151" s="1008">
        <f>500000000-100000000-210443382</f>
        <v>189556618</v>
      </c>
      <c r="AD151" s="1008"/>
      <c r="AE151" s="1008"/>
      <c r="AF151" s="1008"/>
      <c r="AG151" s="1008"/>
      <c r="AH151" s="1008"/>
      <c r="AI151" s="1008"/>
      <c r="AJ151" s="1008"/>
      <c r="AK151" s="1008"/>
      <c r="AL151" s="1008"/>
      <c r="AM151" s="1008"/>
      <c r="AN151" s="1008"/>
      <c r="AO151" s="1008"/>
      <c r="AP151" s="1008"/>
      <c r="AQ151" s="1008"/>
      <c r="AR151" s="1008"/>
      <c r="AS151" s="1008"/>
      <c r="AU151" s="1011">
        <f t="shared" si="103"/>
        <v>1</v>
      </c>
      <c r="AV151" s="1008">
        <f t="shared" si="146"/>
        <v>189556618</v>
      </c>
      <c r="AW151" s="1008"/>
      <c r="AX151" s="1008"/>
      <c r="AY151" s="1008"/>
      <c r="AZ151" s="1008">
        <v>189556618</v>
      </c>
      <c r="BA151" s="1008"/>
      <c r="BB151" s="1008"/>
      <c r="BC151" s="1008"/>
      <c r="BD151" s="1008"/>
      <c r="BE151" s="1008"/>
      <c r="BF151" s="1008"/>
      <c r="BG151" s="1008"/>
      <c r="BH151" s="1008"/>
      <c r="BI151" s="1008"/>
      <c r="BJ151" s="1008"/>
      <c r="BK151" s="1008"/>
      <c r="BL151" s="1008"/>
      <c r="BM151" s="1008"/>
      <c r="BN151" s="1008"/>
      <c r="BO151" s="1008"/>
      <c r="BP151" s="1008"/>
      <c r="BQ151" s="1011">
        <f t="shared" si="105"/>
        <v>0</v>
      </c>
      <c r="BR151" s="1008">
        <f t="shared" si="147"/>
        <v>0</v>
      </c>
      <c r="BS151" s="1008">
        <f t="shared" ref="BS151:BS172" si="164">+Z151-AW151</f>
        <v>0</v>
      </c>
      <c r="BT151" s="1008">
        <f t="shared" ref="BT151:BT172" si="165">AA151-AX151</f>
        <v>0</v>
      </c>
      <c r="BU151" s="1008"/>
      <c r="BV151" s="1008">
        <f t="shared" si="162"/>
        <v>0</v>
      </c>
      <c r="BW151" s="1008">
        <f t="shared" si="162"/>
        <v>0</v>
      </c>
      <c r="BX151" s="1008">
        <f t="shared" ref="BX151:BY172" si="166">+AE151-BB151</f>
        <v>0</v>
      </c>
      <c r="BY151" s="1008">
        <f t="shared" si="166"/>
        <v>0</v>
      </c>
      <c r="BZ151" s="1008"/>
      <c r="CA151" s="1008">
        <f t="shared" ref="CA151:CI172" si="167">+AH151-BE151</f>
        <v>0</v>
      </c>
      <c r="CB151" s="1008">
        <f t="shared" si="167"/>
        <v>0</v>
      </c>
      <c r="CC151" s="1008">
        <f t="shared" si="167"/>
        <v>0</v>
      </c>
      <c r="CD151" s="1008">
        <f t="shared" si="167"/>
        <v>0</v>
      </c>
      <c r="CE151" s="1008">
        <f t="shared" si="167"/>
        <v>0</v>
      </c>
      <c r="CF151" s="1008">
        <f t="shared" si="167"/>
        <v>0</v>
      </c>
      <c r="CG151" s="1008">
        <f t="shared" si="167"/>
        <v>0</v>
      </c>
      <c r="CH151" s="1008">
        <f t="shared" si="167"/>
        <v>0</v>
      </c>
      <c r="CI151" s="1008">
        <f t="shared" si="167"/>
        <v>0</v>
      </c>
      <c r="CJ151" s="1008"/>
      <c r="CK151" s="1008">
        <f t="shared" ref="CK151:CL172" si="168">+AR151-BO151</f>
        <v>0</v>
      </c>
      <c r="CL151" s="1008">
        <f t="shared" si="168"/>
        <v>0</v>
      </c>
      <c r="CM151" s="1011">
        <f t="shared" si="113"/>
        <v>1</v>
      </c>
      <c r="CN151" s="1008">
        <f t="shared" si="154"/>
        <v>189556618</v>
      </c>
      <c r="CO151" s="1008"/>
      <c r="CP151" s="1008"/>
      <c r="CQ151" s="1008"/>
      <c r="CR151" s="1008">
        <f>+'[14]JUNIO 2015'!$H$171</f>
        <v>189556618</v>
      </c>
      <c r="CS151" s="1008"/>
      <c r="CT151" s="1008"/>
      <c r="CU151" s="1008"/>
      <c r="CV151" s="1008"/>
      <c r="CW151" s="1008"/>
      <c r="CX151" s="1008"/>
      <c r="CY151" s="1008"/>
      <c r="CZ151" s="1008"/>
      <c r="DA151" s="1008"/>
      <c r="DB151" s="1008"/>
      <c r="DC151" s="1008"/>
      <c r="DD151" s="1008"/>
      <c r="DE151" s="1008"/>
      <c r="DF151" s="1008"/>
      <c r="DG151" s="1008"/>
      <c r="DH151" s="1008"/>
      <c r="DI151" s="1011">
        <f t="shared" si="115"/>
        <v>0</v>
      </c>
      <c r="DJ151" s="1008">
        <f t="shared" si="155"/>
        <v>0</v>
      </c>
      <c r="DK151" s="1008"/>
      <c r="DL151" s="1008"/>
      <c r="DM151" s="1008"/>
      <c r="DN151" s="1008">
        <f t="shared" si="163"/>
        <v>0</v>
      </c>
      <c r="DO151" s="1008">
        <f t="shared" si="163"/>
        <v>0</v>
      </c>
      <c r="DP151" s="1008">
        <f t="shared" si="163"/>
        <v>0</v>
      </c>
      <c r="DQ151" s="1008">
        <f t="shared" si="163"/>
        <v>0</v>
      </c>
      <c r="DR151" s="1008"/>
      <c r="DS151" s="1008">
        <f t="shared" ref="DS151:DT172" si="169">+AH151-CW151</f>
        <v>0</v>
      </c>
      <c r="DT151" s="1008">
        <f t="shared" si="169"/>
        <v>0</v>
      </c>
      <c r="DU151" s="1008"/>
      <c r="DV151" s="1008">
        <f t="shared" ref="DV151:DX172" si="170">AK151-CZ151</f>
        <v>0</v>
      </c>
      <c r="DW151" s="1008">
        <f t="shared" si="170"/>
        <v>0</v>
      </c>
      <c r="DX151" s="1008">
        <f t="shared" si="170"/>
        <v>0</v>
      </c>
      <c r="DY151" s="1008">
        <f t="shared" ref="DY151:EC172" si="171">+AN151-DC151</f>
        <v>0</v>
      </c>
      <c r="DZ151" s="1008">
        <f t="shared" si="171"/>
        <v>0</v>
      </c>
      <c r="EA151" s="1008">
        <f t="shared" si="171"/>
        <v>0</v>
      </c>
      <c r="EB151" s="1008">
        <f t="shared" si="171"/>
        <v>0</v>
      </c>
      <c r="EC151" s="1008"/>
      <c r="ED151" s="1008">
        <f t="shared" ref="ED151:ED172" si="172">+AS151-DH151</f>
        <v>0</v>
      </c>
    </row>
    <row r="152" spans="1:134" ht="48" hidden="1" customHeight="1" x14ac:dyDescent="0.25">
      <c r="A152" s="1560"/>
      <c r="B152" s="989"/>
      <c r="C152" s="1635" t="s">
        <v>4514</v>
      </c>
      <c r="D152" s="1019" t="s">
        <v>4550</v>
      </c>
      <c r="E152" s="994">
        <v>211</v>
      </c>
      <c r="F152" s="1120" t="s">
        <v>4482</v>
      </c>
      <c r="G152" s="1400"/>
      <c r="H152" s="1061">
        <f t="shared" si="143"/>
        <v>48956036</v>
      </c>
      <c r="I152" s="1061">
        <f t="shared" si="144"/>
        <v>60887622</v>
      </c>
      <c r="J152" s="1400"/>
      <c r="K152" s="1573"/>
      <c r="L152" s="1573"/>
      <c r="M152" s="1115">
        <v>2</v>
      </c>
      <c r="N152" s="1115">
        <v>0</v>
      </c>
      <c r="O152" s="1115">
        <v>0</v>
      </c>
      <c r="P152" s="1115">
        <v>45</v>
      </c>
      <c r="Q152" s="1115">
        <v>35</v>
      </c>
      <c r="R152" s="1115">
        <v>16</v>
      </c>
      <c r="S152" s="1120"/>
      <c r="T152" s="1120"/>
      <c r="U152" s="1120"/>
      <c r="V152" s="1120"/>
      <c r="W152" s="1120"/>
      <c r="X152" s="1120"/>
      <c r="Y152" s="1008">
        <f t="shared" si="145"/>
        <v>109843658</v>
      </c>
      <c r="Z152" s="1008"/>
      <c r="AA152" s="1008"/>
      <c r="AB152" s="1008"/>
      <c r="AC152" s="1008">
        <f>498457340+300000000-790156342</f>
        <v>8300998</v>
      </c>
      <c r="AD152" s="1008"/>
      <c r="AE152" s="1008"/>
      <c r="AF152" s="1008"/>
      <c r="AG152" s="1008"/>
      <c r="AH152" s="1008"/>
      <c r="AI152" s="1008"/>
      <c r="AJ152" s="1008"/>
      <c r="AK152" s="1008">
        <v>101542660</v>
      </c>
      <c r="AL152" s="1008"/>
      <c r="AM152" s="1008"/>
      <c r="AN152" s="1008"/>
      <c r="AO152" s="1008"/>
      <c r="AP152" s="1008"/>
      <c r="AQ152" s="1008"/>
      <c r="AR152" s="1008"/>
      <c r="AS152" s="1008"/>
      <c r="AU152" s="1011">
        <f t="shared" si="103"/>
        <v>0.4456883254925833</v>
      </c>
      <c r="AV152" s="1008">
        <f t="shared" si="146"/>
        <v>48956036</v>
      </c>
      <c r="AW152" s="1008"/>
      <c r="AX152" s="1008"/>
      <c r="AY152" s="1008"/>
      <c r="AZ152" s="1008">
        <f>+'[14]JUNIO 2015'!$M$180</f>
        <v>8300998</v>
      </c>
      <c r="BA152" s="1008"/>
      <c r="BB152" s="1008"/>
      <c r="BC152" s="1008"/>
      <c r="BD152" s="1008"/>
      <c r="BE152" s="1008"/>
      <c r="BF152" s="1008"/>
      <c r="BG152" s="1008"/>
      <c r="BH152" s="1008">
        <f>+'[14]JUNIO 2015'!$U$180</f>
        <v>40655038</v>
      </c>
      <c r="BI152" s="1008"/>
      <c r="BJ152" s="1008"/>
      <c r="BK152" s="1008"/>
      <c r="BL152" s="1008"/>
      <c r="BM152" s="1008"/>
      <c r="BN152" s="1008"/>
      <c r="BO152" s="1008"/>
      <c r="BP152" s="1008"/>
      <c r="BQ152" s="1011">
        <f t="shared" si="105"/>
        <v>0.5543116745074167</v>
      </c>
      <c r="BR152" s="1008">
        <f t="shared" si="147"/>
        <v>60887622</v>
      </c>
      <c r="BS152" s="1008">
        <f t="shared" si="164"/>
        <v>0</v>
      </c>
      <c r="BT152" s="1008">
        <f t="shared" si="165"/>
        <v>0</v>
      </c>
      <c r="BU152" s="1008"/>
      <c r="BV152" s="1008">
        <f t="shared" si="162"/>
        <v>0</v>
      </c>
      <c r="BW152" s="1008">
        <f t="shared" si="162"/>
        <v>0</v>
      </c>
      <c r="BX152" s="1008">
        <f t="shared" si="166"/>
        <v>0</v>
      </c>
      <c r="BY152" s="1008">
        <f t="shared" si="166"/>
        <v>0</v>
      </c>
      <c r="BZ152" s="1008"/>
      <c r="CA152" s="1008">
        <f t="shared" si="167"/>
        <v>0</v>
      </c>
      <c r="CB152" s="1008">
        <f t="shared" si="167"/>
        <v>0</v>
      </c>
      <c r="CC152" s="1008">
        <f t="shared" si="167"/>
        <v>0</v>
      </c>
      <c r="CD152" s="1008">
        <f t="shared" si="167"/>
        <v>60887622</v>
      </c>
      <c r="CE152" s="1008">
        <f t="shared" si="167"/>
        <v>0</v>
      </c>
      <c r="CF152" s="1008">
        <f t="shared" si="167"/>
        <v>0</v>
      </c>
      <c r="CG152" s="1008">
        <f t="shared" si="167"/>
        <v>0</v>
      </c>
      <c r="CH152" s="1008">
        <f t="shared" si="167"/>
        <v>0</v>
      </c>
      <c r="CI152" s="1008">
        <f t="shared" si="167"/>
        <v>0</v>
      </c>
      <c r="CJ152" s="1008"/>
      <c r="CK152" s="1008">
        <f t="shared" si="168"/>
        <v>0</v>
      </c>
      <c r="CL152" s="1008">
        <f t="shared" si="168"/>
        <v>0</v>
      </c>
      <c r="CM152" s="1011">
        <f t="shared" si="113"/>
        <v>0.4456883254925833</v>
      </c>
      <c r="CN152" s="1008">
        <f t="shared" si="154"/>
        <v>48956036</v>
      </c>
      <c r="CO152" s="1008"/>
      <c r="CP152" s="1008"/>
      <c r="CQ152" s="1008"/>
      <c r="CR152" s="1008">
        <f>+'[11]ABRIL 2015'!$H$166</f>
        <v>8300998</v>
      </c>
      <c r="CS152" s="1008"/>
      <c r="CT152" s="1008"/>
      <c r="CU152" s="1008"/>
      <c r="CV152" s="1008"/>
      <c r="CW152" s="1008"/>
      <c r="CX152" s="1008"/>
      <c r="CY152" s="1008"/>
      <c r="CZ152" s="1008">
        <f>8301038+32354000</f>
        <v>40655038</v>
      </c>
      <c r="DA152" s="1008"/>
      <c r="DB152" s="1008"/>
      <c r="DC152" s="1008"/>
      <c r="DD152" s="1008"/>
      <c r="DE152" s="1008"/>
      <c r="DF152" s="1008"/>
      <c r="DG152" s="1008"/>
      <c r="DH152" s="1008"/>
      <c r="DI152" s="1011">
        <f t="shared" si="115"/>
        <v>0.5543116745074167</v>
      </c>
      <c r="DJ152" s="1008">
        <f t="shared" si="155"/>
        <v>60887622</v>
      </c>
      <c r="DK152" s="1008"/>
      <c r="DL152" s="1008"/>
      <c r="DM152" s="1008"/>
      <c r="DN152" s="1008">
        <f t="shared" si="163"/>
        <v>0</v>
      </c>
      <c r="DO152" s="1008">
        <f t="shared" si="163"/>
        <v>0</v>
      </c>
      <c r="DP152" s="1008">
        <f t="shared" si="163"/>
        <v>0</v>
      </c>
      <c r="DQ152" s="1008">
        <f t="shared" si="163"/>
        <v>0</v>
      </c>
      <c r="DR152" s="1008"/>
      <c r="DS152" s="1008">
        <f t="shared" si="169"/>
        <v>0</v>
      </c>
      <c r="DT152" s="1008">
        <f t="shared" si="169"/>
        <v>0</v>
      </c>
      <c r="DU152" s="1008"/>
      <c r="DV152" s="1008">
        <f t="shared" si="170"/>
        <v>60887622</v>
      </c>
      <c r="DW152" s="1008">
        <f t="shared" si="170"/>
        <v>0</v>
      </c>
      <c r="DX152" s="1008">
        <f t="shared" si="170"/>
        <v>0</v>
      </c>
      <c r="DY152" s="1008">
        <f t="shared" si="171"/>
        <v>0</v>
      </c>
      <c r="DZ152" s="1008">
        <f t="shared" si="171"/>
        <v>0</v>
      </c>
      <c r="EA152" s="1008">
        <f t="shared" si="171"/>
        <v>0</v>
      </c>
      <c r="EB152" s="1008">
        <f t="shared" si="171"/>
        <v>0</v>
      </c>
      <c r="EC152" s="1008"/>
      <c r="ED152" s="1008">
        <f t="shared" si="172"/>
        <v>0</v>
      </c>
    </row>
    <row r="153" spans="1:134" s="203" customFormat="1" ht="36" hidden="1" customHeight="1" x14ac:dyDescent="0.25">
      <c r="A153" s="1560"/>
      <c r="B153" s="989"/>
      <c r="C153" s="1631" t="s">
        <v>4515</v>
      </c>
      <c r="D153" s="1019" t="s">
        <v>4551</v>
      </c>
      <c r="E153" s="989">
        <v>211</v>
      </c>
      <c r="F153" s="1120" t="s">
        <v>4482</v>
      </c>
      <c r="G153" s="1400"/>
      <c r="H153" s="1061">
        <f t="shared" si="143"/>
        <v>0</v>
      </c>
      <c r="I153" s="1061">
        <f t="shared" si="144"/>
        <v>0</v>
      </c>
      <c r="J153" s="1401"/>
      <c r="K153" s="1284"/>
      <c r="L153" s="1284"/>
      <c r="M153" s="1075">
        <v>0</v>
      </c>
      <c r="N153" s="1075">
        <v>0</v>
      </c>
      <c r="O153" s="1075">
        <v>0</v>
      </c>
      <c r="P153" s="1075"/>
      <c r="Q153" s="1075"/>
      <c r="R153" s="1075"/>
      <c r="S153" s="1120"/>
      <c r="T153" s="1120"/>
      <c r="U153" s="1120"/>
      <c r="V153" s="1120"/>
      <c r="W153" s="1120"/>
      <c r="X153" s="1120"/>
      <c r="Y153" s="1067">
        <f t="shared" si="145"/>
        <v>0</v>
      </c>
      <c r="Z153" s="149"/>
      <c r="AA153" s="149"/>
      <c r="AB153" s="149"/>
      <c r="AC153" s="1067">
        <f>600000000-600000000</f>
        <v>0</v>
      </c>
      <c r="AD153" s="149"/>
      <c r="AE153" s="149"/>
      <c r="AF153" s="1067"/>
      <c r="AG153" s="1067"/>
      <c r="AH153" s="1067"/>
      <c r="AI153" s="1067"/>
      <c r="AJ153" s="1067"/>
      <c r="AK153" s="1067"/>
      <c r="AL153" s="1067"/>
      <c r="AM153" s="149"/>
      <c r="AN153" s="149"/>
      <c r="AO153" s="149"/>
      <c r="AP153" s="149"/>
      <c r="AQ153" s="149"/>
      <c r="AR153" s="149"/>
      <c r="AS153" s="1067"/>
      <c r="AU153" s="1082">
        <v>0</v>
      </c>
      <c r="AV153" s="1067">
        <f t="shared" si="146"/>
        <v>0</v>
      </c>
      <c r="AW153" s="1067"/>
      <c r="AX153" s="1067"/>
      <c r="AY153" s="1067"/>
      <c r="AZ153" s="1067"/>
      <c r="BA153" s="1067"/>
      <c r="BB153" s="1067"/>
      <c r="BC153" s="1067"/>
      <c r="BD153" s="1067"/>
      <c r="BE153" s="1067"/>
      <c r="BF153" s="1067"/>
      <c r="BG153" s="1067"/>
      <c r="BH153" s="1067"/>
      <c r="BI153" s="1067"/>
      <c r="BJ153" s="1067"/>
      <c r="BK153" s="1067"/>
      <c r="BL153" s="1067"/>
      <c r="BM153" s="1067"/>
      <c r="BN153" s="1067"/>
      <c r="BO153" s="1067"/>
      <c r="BP153" s="1067"/>
      <c r="BQ153" s="1082">
        <v>0</v>
      </c>
      <c r="BR153" s="1067">
        <f t="shared" si="147"/>
        <v>0</v>
      </c>
      <c r="BS153" s="1067">
        <f t="shared" si="164"/>
        <v>0</v>
      </c>
      <c r="BT153" s="1067">
        <f t="shared" si="165"/>
        <v>0</v>
      </c>
      <c r="BU153" s="1067"/>
      <c r="BV153" s="1067">
        <f t="shared" si="162"/>
        <v>0</v>
      </c>
      <c r="BW153" s="1067">
        <f t="shared" si="162"/>
        <v>0</v>
      </c>
      <c r="BX153" s="1067">
        <f t="shared" si="166"/>
        <v>0</v>
      </c>
      <c r="BY153" s="1067">
        <f t="shared" si="166"/>
        <v>0</v>
      </c>
      <c r="BZ153" s="1067"/>
      <c r="CA153" s="1067">
        <f t="shared" si="167"/>
        <v>0</v>
      </c>
      <c r="CB153" s="1067">
        <f t="shared" si="167"/>
        <v>0</v>
      </c>
      <c r="CC153" s="1067">
        <f t="shared" si="167"/>
        <v>0</v>
      </c>
      <c r="CD153" s="1067">
        <f t="shared" si="167"/>
        <v>0</v>
      </c>
      <c r="CE153" s="1067">
        <f t="shared" si="167"/>
        <v>0</v>
      </c>
      <c r="CF153" s="1067">
        <f t="shared" si="167"/>
        <v>0</v>
      </c>
      <c r="CG153" s="1067">
        <f t="shared" si="167"/>
        <v>0</v>
      </c>
      <c r="CH153" s="1067">
        <f t="shared" si="167"/>
        <v>0</v>
      </c>
      <c r="CI153" s="1067">
        <f t="shared" si="167"/>
        <v>0</v>
      </c>
      <c r="CJ153" s="1067"/>
      <c r="CK153" s="1067">
        <f t="shared" si="168"/>
        <v>0</v>
      </c>
      <c r="CL153" s="1067">
        <f t="shared" si="168"/>
        <v>0</v>
      </c>
      <c r="CM153" s="1082">
        <v>0</v>
      </c>
      <c r="CN153" s="1067">
        <f t="shared" si="154"/>
        <v>0</v>
      </c>
      <c r="CO153" s="1067"/>
      <c r="CP153" s="1067"/>
      <c r="CQ153" s="1067"/>
      <c r="CR153" s="1067"/>
      <c r="CS153" s="1067"/>
      <c r="CT153" s="1067"/>
      <c r="CU153" s="1067"/>
      <c r="CV153" s="1067"/>
      <c r="CW153" s="1067"/>
      <c r="CX153" s="1067"/>
      <c r="CY153" s="1067"/>
      <c r="CZ153" s="1067"/>
      <c r="DA153" s="1067"/>
      <c r="DB153" s="1067"/>
      <c r="DC153" s="1067"/>
      <c r="DD153" s="1067"/>
      <c r="DE153" s="1067"/>
      <c r="DF153" s="1067"/>
      <c r="DG153" s="1067"/>
      <c r="DH153" s="1067"/>
      <c r="DI153" s="1082">
        <v>0</v>
      </c>
      <c r="DJ153" s="1067">
        <f t="shared" si="155"/>
        <v>0</v>
      </c>
      <c r="DK153" s="1067"/>
      <c r="DL153" s="1067"/>
      <c r="DM153" s="1067"/>
      <c r="DN153" s="1067">
        <f t="shared" si="163"/>
        <v>0</v>
      </c>
      <c r="DO153" s="1067">
        <f t="shared" si="163"/>
        <v>0</v>
      </c>
      <c r="DP153" s="1067">
        <f t="shared" si="163"/>
        <v>0</v>
      </c>
      <c r="DQ153" s="1067">
        <f t="shared" si="163"/>
        <v>0</v>
      </c>
      <c r="DR153" s="1067"/>
      <c r="DS153" s="1067">
        <f t="shared" si="169"/>
        <v>0</v>
      </c>
      <c r="DT153" s="1067">
        <f t="shared" si="169"/>
        <v>0</v>
      </c>
      <c r="DU153" s="1067"/>
      <c r="DV153" s="1067">
        <f t="shared" si="170"/>
        <v>0</v>
      </c>
      <c r="DW153" s="1067">
        <f t="shared" si="170"/>
        <v>0</v>
      </c>
      <c r="DX153" s="1067">
        <f t="shared" si="170"/>
        <v>0</v>
      </c>
      <c r="DY153" s="1067">
        <f t="shared" si="171"/>
        <v>0</v>
      </c>
      <c r="DZ153" s="1067">
        <f t="shared" si="171"/>
        <v>0</v>
      </c>
      <c r="EA153" s="1067">
        <f t="shared" si="171"/>
        <v>0</v>
      </c>
      <c r="EB153" s="1067">
        <f t="shared" si="171"/>
        <v>0</v>
      </c>
      <c r="EC153" s="1067">
        <f t="shared" si="171"/>
        <v>0</v>
      </c>
      <c r="ED153" s="1067">
        <f t="shared" si="172"/>
        <v>0</v>
      </c>
    </row>
    <row r="154" spans="1:134" ht="48.75" hidden="1" customHeight="1" x14ac:dyDescent="0.25">
      <c r="A154" s="1560"/>
      <c r="B154" s="989"/>
      <c r="C154" s="1635" t="s">
        <v>4516</v>
      </c>
      <c r="D154" s="1019" t="s">
        <v>4726</v>
      </c>
      <c r="E154" s="994">
        <v>211</v>
      </c>
      <c r="F154" s="1120" t="s">
        <v>4482</v>
      </c>
      <c r="G154" s="1400"/>
      <c r="H154" s="1061">
        <f t="shared" si="143"/>
        <v>372698968</v>
      </c>
      <c r="I154" s="1061">
        <f t="shared" si="144"/>
        <v>2518133</v>
      </c>
      <c r="J154" s="1581">
        <v>60</v>
      </c>
      <c r="K154" s="1582">
        <v>78</v>
      </c>
      <c r="L154" s="1305">
        <v>62</v>
      </c>
      <c r="M154" s="1119">
        <v>0</v>
      </c>
      <c r="N154" s="1119">
        <v>0</v>
      </c>
      <c r="O154" s="1119">
        <v>0</v>
      </c>
      <c r="P154" s="1115">
        <v>0</v>
      </c>
      <c r="Q154" s="1115">
        <v>0</v>
      </c>
      <c r="R154" s="1115">
        <v>0</v>
      </c>
      <c r="S154" s="1120"/>
      <c r="T154" s="1120"/>
      <c r="U154" s="1120"/>
      <c r="V154" s="1120"/>
      <c r="W154" s="1120"/>
      <c r="X154" s="1120"/>
      <c r="Y154" s="1008">
        <f t="shared" si="145"/>
        <v>375217101</v>
      </c>
      <c r="Z154" s="944"/>
      <c r="AA154" s="944"/>
      <c r="AB154" s="944"/>
      <c r="AC154" s="1008">
        <f>1007000000-631782899</f>
        <v>375217101</v>
      </c>
      <c r="AD154" s="944"/>
      <c r="AE154" s="944"/>
      <c r="AF154" s="1008"/>
      <c r="AG154" s="1008"/>
      <c r="AH154" s="1008"/>
      <c r="AI154" s="1008"/>
      <c r="AJ154" s="1008"/>
      <c r="AK154" s="1008"/>
      <c r="AL154" s="1008"/>
      <c r="AM154" s="149"/>
      <c r="AN154" s="149"/>
      <c r="AO154" s="149"/>
      <c r="AP154" s="149"/>
      <c r="AQ154" s="149"/>
      <c r="AR154" s="149"/>
      <c r="AS154" s="1008"/>
      <c r="AU154" s="1011">
        <f t="shared" si="103"/>
        <v>0.99328886398490668</v>
      </c>
      <c r="AV154" s="1008">
        <f t="shared" si="146"/>
        <v>372698968</v>
      </c>
      <c r="AW154" s="1008"/>
      <c r="AX154" s="1008"/>
      <c r="AY154" s="1008"/>
      <c r="AZ154" s="1008">
        <f>+'[15]JULIO 2015'!$M$208</f>
        <v>372698968</v>
      </c>
      <c r="BA154" s="1008"/>
      <c r="BB154" s="1008"/>
      <c r="BC154" s="1008"/>
      <c r="BD154" s="1008"/>
      <c r="BE154" s="1008"/>
      <c r="BF154" s="1008"/>
      <c r="BG154" s="1008"/>
      <c r="BH154" s="1008"/>
      <c r="BI154" s="1008"/>
      <c r="BJ154" s="1008"/>
      <c r="BK154" s="1008"/>
      <c r="BL154" s="1008"/>
      <c r="BM154" s="1008"/>
      <c r="BN154" s="1008"/>
      <c r="BO154" s="1008"/>
      <c r="BP154" s="1008"/>
      <c r="BQ154" s="1011">
        <f t="shared" si="105"/>
        <v>6.7111360150933219E-3</v>
      </c>
      <c r="BR154" s="1008">
        <f t="shared" si="147"/>
        <v>2518133</v>
      </c>
      <c r="BS154" s="1008">
        <f t="shared" si="164"/>
        <v>0</v>
      </c>
      <c r="BT154" s="1008">
        <f t="shared" si="165"/>
        <v>0</v>
      </c>
      <c r="BU154" s="1008"/>
      <c r="BV154" s="1008">
        <f t="shared" si="162"/>
        <v>2518133</v>
      </c>
      <c r="BW154" s="1008">
        <f t="shared" si="162"/>
        <v>0</v>
      </c>
      <c r="BX154" s="1008">
        <f t="shared" si="166"/>
        <v>0</v>
      </c>
      <c r="BY154" s="1008">
        <f t="shared" si="166"/>
        <v>0</v>
      </c>
      <c r="BZ154" s="1008"/>
      <c r="CA154" s="1008">
        <f t="shared" si="167"/>
        <v>0</v>
      </c>
      <c r="CB154" s="1008">
        <f t="shared" si="167"/>
        <v>0</v>
      </c>
      <c r="CC154" s="1008">
        <f t="shared" si="167"/>
        <v>0</v>
      </c>
      <c r="CD154" s="1008">
        <f t="shared" si="167"/>
        <v>0</v>
      </c>
      <c r="CE154" s="1008">
        <f t="shared" si="167"/>
        <v>0</v>
      </c>
      <c r="CF154" s="1008">
        <f t="shared" si="167"/>
        <v>0</v>
      </c>
      <c r="CG154" s="1008">
        <f t="shared" si="167"/>
        <v>0</v>
      </c>
      <c r="CH154" s="1008">
        <f t="shared" si="167"/>
        <v>0</v>
      </c>
      <c r="CI154" s="1008">
        <f t="shared" si="167"/>
        <v>0</v>
      </c>
      <c r="CJ154" s="1008"/>
      <c r="CK154" s="1008">
        <f t="shared" si="168"/>
        <v>0</v>
      </c>
      <c r="CL154" s="1008">
        <f t="shared" si="168"/>
        <v>0</v>
      </c>
      <c r="CM154" s="1011">
        <f t="shared" si="113"/>
        <v>0.99328886398490668</v>
      </c>
      <c r="CN154" s="1008">
        <f t="shared" si="154"/>
        <v>372698968</v>
      </c>
      <c r="CO154" s="1008"/>
      <c r="CP154" s="1008"/>
      <c r="CQ154" s="1008"/>
      <c r="CR154" s="1008">
        <f>+'[16]AGOSTO 2015'!$H$214</f>
        <v>372698968</v>
      </c>
      <c r="CS154" s="1008"/>
      <c r="CT154" s="1008"/>
      <c r="CU154" s="1008"/>
      <c r="CV154" s="1008"/>
      <c r="CW154" s="1008"/>
      <c r="CX154" s="1008"/>
      <c r="CY154" s="1008"/>
      <c r="CZ154" s="1008"/>
      <c r="DA154" s="1008"/>
      <c r="DB154" s="1008"/>
      <c r="DC154" s="1008"/>
      <c r="DD154" s="1008"/>
      <c r="DE154" s="1008"/>
      <c r="DF154" s="1008"/>
      <c r="DG154" s="1008"/>
      <c r="DH154" s="1008"/>
      <c r="DI154" s="1011">
        <f t="shared" si="115"/>
        <v>6.7111360150933219E-3</v>
      </c>
      <c r="DJ154" s="1008">
        <f t="shared" si="155"/>
        <v>2518133</v>
      </c>
      <c r="DK154" s="1008"/>
      <c r="DL154" s="1008"/>
      <c r="DM154" s="1008"/>
      <c r="DN154" s="1008">
        <f t="shared" si="163"/>
        <v>2518133</v>
      </c>
      <c r="DO154" s="1008">
        <f t="shared" si="163"/>
        <v>0</v>
      </c>
      <c r="DP154" s="1008">
        <f t="shared" si="163"/>
        <v>0</v>
      </c>
      <c r="DQ154" s="1008">
        <f t="shared" si="163"/>
        <v>0</v>
      </c>
      <c r="DR154" s="1008"/>
      <c r="DS154" s="1008">
        <f t="shared" si="169"/>
        <v>0</v>
      </c>
      <c r="DT154" s="1008">
        <f t="shared" si="169"/>
        <v>0</v>
      </c>
      <c r="DU154" s="1008"/>
      <c r="DV154" s="1008">
        <f t="shared" si="170"/>
        <v>0</v>
      </c>
      <c r="DW154" s="1008">
        <f t="shared" si="170"/>
        <v>0</v>
      </c>
      <c r="DX154" s="1008">
        <f t="shared" si="170"/>
        <v>0</v>
      </c>
      <c r="DY154" s="1008">
        <f t="shared" si="171"/>
        <v>0</v>
      </c>
      <c r="DZ154" s="1008">
        <f t="shared" si="171"/>
        <v>0</v>
      </c>
      <c r="EA154" s="1008">
        <f t="shared" si="171"/>
        <v>0</v>
      </c>
      <c r="EB154" s="1008">
        <f t="shared" si="171"/>
        <v>0</v>
      </c>
      <c r="EC154" s="1008">
        <f t="shared" si="171"/>
        <v>0</v>
      </c>
      <c r="ED154" s="1008">
        <f t="shared" si="172"/>
        <v>0</v>
      </c>
    </row>
    <row r="155" spans="1:134" ht="49.5" hidden="1" customHeight="1" x14ac:dyDescent="0.25">
      <c r="A155" s="1560"/>
      <c r="B155" s="989"/>
      <c r="C155" s="1635" t="s">
        <v>4517</v>
      </c>
      <c r="D155" s="1019" t="s">
        <v>4552</v>
      </c>
      <c r="E155" s="994">
        <v>211</v>
      </c>
      <c r="F155" s="1120" t="s">
        <v>4482</v>
      </c>
      <c r="G155" s="1400"/>
      <c r="H155" s="1061">
        <f t="shared" si="143"/>
        <v>244800000</v>
      </c>
      <c r="I155" s="1061">
        <f t="shared" si="144"/>
        <v>0</v>
      </c>
      <c r="J155" s="1581"/>
      <c r="K155" s="1582"/>
      <c r="L155" s="1305"/>
      <c r="M155" s="1119">
        <v>0</v>
      </c>
      <c r="N155" s="1119">
        <v>0</v>
      </c>
      <c r="O155" s="1119">
        <v>0</v>
      </c>
      <c r="P155" s="1115">
        <v>100</v>
      </c>
      <c r="Q155" s="1115">
        <v>40</v>
      </c>
      <c r="R155" s="1115">
        <v>40</v>
      </c>
      <c r="S155" s="1120"/>
      <c r="T155" s="1120"/>
      <c r="U155" s="1120"/>
      <c r="V155" s="1120"/>
      <c r="W155" s="1120"/>
      <c r="X155" s="1120"/>
      <c r="Y155" s="1008">
        <f t="shared" si="145"/>
        <v>244800000</v>
      </c>
      <c r="Z155" s="944"/>
      <c r="AA155" s="944"/>
      <c r="AB155" s="944"/>
      <c r="AC155" s="1008">
        <f>2000000000-1755200000</f>
        <v>244800000</v>
      </c>
      <c r="AD155" s="944"/>
      <c r="AE155" s="944"/>
      <c r="AF155" s="1008"/>
      <c r="AG155" s="1008"/>
      <c r="AH155" s="1008"/>
      <c r="AI155" s="1008"/>
      <c r="AJ155" s="1008"/>
      <c r="AK155" s="1008"/>
      <c r="AL155" s="1008"/>
      <c r="AM155" s="149"/>
      <c r="AN155" s="149"/>
      <c r="AO155" s="149"/>
      <c r="AP155" s="149"/>
      <c r="AQ155" s="149"/>
      <c r="AR155" s="149"/>
      <c r="AS155" s="1008"/>
      <c r="AU155" s="1011">
        <f t="shared" si="103"/>
        <v>1</v>
      </c>
      <c r="AV155" s="1008">
        <f t="shared" si="146"/>
        <v>244800000</v>
      </c>
      <c r="AW155" s="1008"/>
      <c r="AX155" s="1008"/>
      <c r="AY155" s="1008"/>
      <c r="AZ155" s="1008">
        <f>+'[11]ABRIL 2015'!$G$182</f>
        <v>244800000</v>
      </c>
      <c r="BA155" s="1008"/>
      <c r="BB155" s="1008"/>
      <c r="BC155" s="1008"/>
      <c r="BD155" s="1008"/>
      <c r="BE155" s="1008"/>
      <c r="BF155" s="1008"/>
      <c r="BG155" s="1008"/>
      <c r="BH155" s="1008"/>
      <c r="BI155" s="1008"/>
      <c r="BJ155" s="1008"/>
      <c r="BK155" s="1008"/>
      <c r="BL155" s="1008"/>
      <c r="BM155" s="1008"/>
      <c r="BN155" s="1008"/>
      <c r="BO155" s="1008"/>
      <c r="BP155" s="1008"/>
      <c r="BQ155" s="1011">
        <f t="shared" si="105"/>
        <v>0</v>
      </c>
      <c r="BR155" s="1008">
        <f t="shared" si="147"/>
        <v>0</v>
      </c>
      <c r="BS155" s="1008">
        <f t="shared" si="164"/>
        <v>0</v>
      </c>
      <c r="BT155" s="1008">
        <f t="shared" si="165"/>
        <v>0</v>
      </c>
      <c r="BU155" s="1008"/>
      <c r="BV155" s="1008">
        <f t="shared" si="162"/>
        <v>0</v>
      </c>
      <c r="BW155" s="1008">
        <f t="shared" si="162"/>
        <v>0</v>
      </c>
      <c r="BX155" s="1008">
        <f t="shared" si="166"/>
        <v>0</v>
      </c>
      <c r="BY155" s="1008">
        <f t="shared" si="166"/>
        <v>0</v>
      </c>
      <c r="BZ155" s="1008"/>
      <c r="CA155" s="1008">
        <f t="shared" si="167"/>
        <v>0</v>
      </c>
      <c r="CB155" s="1008">
        <f t="shared" si="167"/>
        <v>0</v>
      </c>
      <c r="CC155" s="1008">
        <f t="shared" si="167"/>
        <v>0</v>
      </c>
      <c r="CD155" s="1008">
        <f t="shared" si="167"/>
        <v>0</v>
      </c>
      <c r="CE155" s="1008">
        <f t="shared" si="167"/>
        <v>0</v>
      </c>
      <c r="CF155" s="1008">
        <f t="shared" si="167"/>
        <v>0</v>
      </c>
      <c r="CG155" s="1008">
        <f t="shared" si="167"/>
        <v>0</v>
      </c>
      <c r="CH155" s="1008">
        <f t="shared" si="167"/>
        <v>0</v>
      </c>
      <c r="CI155" s="1008">
        <f t="shared" si="167"/>
        <v>0</v>
      </c>
      <c r="CJ155" s="1008"/>
      <c r="CK155" s="1008">
        <f t="shared" si="168"/>
        <v>0</v>
      </c>
      <c r="CL155" s="1008">
        <f t="shared" si="168"/>
        <v>0</v>
      </c>
      <c r="CM155" s="1011">
        <f t="shared" si="113"/>
        <v>1</v>
      </c>
      <c r="CN155" s="1008">
        <f t="shared" si="154"/>
        <v>244800000</v>
      </c>
      <c r="CO155" s="1008"/>
      <c r="CP155" s="1008"/>
      <c r="CQ155" s="1008"/>
      <c r="CR155" s="1008">
        <v>244800000</v>
      </c>
      <c r="CS155" s="1008"/>
      <c r="CT155" s="1008"/>
      <c r="CU155" s="1008"/>
      <c r="CV155" s="1008"/>
      <c r="CW155" s="1008"/>
      <c r="CX155" s="1008"/>
      <c r="CY155" s="1008"/>
      <c r="CZ155" s="1008"/>
      <c r="DA155" s="1008"/>
      <c r="DB155" s="1008"/>
      <c r="DC155" s="1008"/>
      <c r="DD155" s="1008"/>
      <c r="DE155" s="1008"/>
      <c r="DF155" s="1008"/>
      <c r="DG155" s="1008"/>
      <c r="DH155" s="1008"/>
      <c r="DI155" s="1011">
        <f t="shared" si="115"/>
        <v>0</v>
      </c>
      <c r="DJ155" s="1008">
        <f t="shared" si="155"/>
        <v>0</v>
      </c>
      <c r="DK155" s="1008"/>
      <c r="DL155" s="1008"/>
      <c r="DM155" s="1008"/>
      <c r="DN155" s="1008">
        <f t="shared" si="163"/>
        <v>0</v>
      </c>
      <c r="DO155" s="1008">
        <f t="shared" si="163"/>
        <v>0</v>
      </c>
      <c r="DP155" s="1008">
        <f t="shared" si="163"/>
        <v>0</v>
      </c>
      <c r="DQ155" s="1008">
        <f t="shared" si="163"/>
        <v>0</v>
      </c>
      <c r="DR155" s="1008"/>
      <c r="DS155" s="1008">
        <f t="shared" si="169"/>
        <v>0</v>
      </c>
      <c r="DT155" s="1008">
        <f t="shared" si="169"/>
        <v>0</v>
      </c>
      <c r="DU155" s="1008"/>
      <c r="DV155" s="1008">
        <f t="shared" si="170"/>
        <v>0</v>
      </c>
      <c r="DW155" s="1008">
        <f t="shared" si="170"/>
        <v>0</v>
      </c>
      <c r="DX155" s="1008">
        <f t="shared" si="170"/>
        <v>0</v>
      </c>
      <c r="DY155" s="1008">
        <f t="shared" si="171"/>
        <v>0</v>
      </c>
      <c r="DZ155" s="1008">
        <f t="shared" si="171"/>
        <v>0</v>
      </c>
      <c r="EA155" s="1008">
        <f t="shared" si="171"/>
        <v>0</v>
      </c>
      <c r="EB155" s="1008">
        <f t="shared" si="171"/>
        <v>0</v>
      </c>
      <c r="EC155" s="1008">
        <f t="shared" si="171"/>
        <v>0</v>
      </c>
      <c r="ED155" s="1008">
        <f t="shared" si="172"/>
        <v>0</v>
      </c>
    </row>
    <row r="156" spans="1:134" ht="22.5" hidden="1" customHeight="1" x14ac:dyDescent="0.25">
      <c r="A156" s="1560"/>
      <c r="B156" s="989"/>
      <c r="C156" s="1635" t="s">
        <v>4518</v>
      </c>
      <c r="D156" s="1019" t="s">
        <v>4553</v>
      </c>
      <c r="E156" s="994">
        <v>211</v>
      </c>
      <c r="F156" s="1120" t="s">
        <v>4482</v>
      </c>
      <c r="G156" s="1400"/>
      <c r="H156" s="1061">
        <f t="shared" si="143"/>
        <v>96000000</v>
      </c>
      <c r="I156" s="1061">
        <f t="shared" si="144"/>
        <v>250985280</v>
      </c>
      <c r="J156" s="1581"/>
      <c r="K156" s="1582"/>
      <c r="L156" s="1305"/>
      <c r="M156" s="1119">
        <v>0</v>
      </c>
      <c r="N156" s="1119">
        <v>0</v>
      </c>
      <c r="O156" s="1119">
        <v>0</v>
      </c>
      <c r="P156" s="1115">
        <v>13</v>
      </c>
      <c r="Q156" s="1115">
        <v>5</v>
      </c>
      <c r="R156" s="1115">
        <v>1</v>
      </c>
      <c r="S156" s="1120"/>
      <c r="T156" s="1120"/>
      <c r="U156" s="1120"/>
      <c r="V156" s="1120"/>
      <c r="W156" s="1120"/>
      <c r="X156" s="1120"/>
      <c r="Y156" s="1008">
        <f t="shared" si="145"/>
        <v>346985280</v>
      </c>
      <c r="Z156" s="944"/>
      <c r="AA156" s="944"/>
      <c r="AB156" s="944"/>
      <c r="AC156" s="1008">
        <f>178840000+200000000-72884540+72884540-31854720</f>
        <v>346985280</v>
      </c>
      <c r="AD156" s="1008">
        <f>72884540-72884540</f>
        <v>0</v>
      </c>
      <c r="AE156" s="944"/>
      <c r="AF156" s="1008"/>
      <c r="AG156" s="1008"/>
      <c r="AH156" s="1008"/>
      <c r="AI156" s="1008"/>
      <c r="AJ156" s="1008"/>
      <c r="AK156" s="1008"/>
      <c r="AL156" s="1008"/>
      <c r="AM156" s="149"/>
      <c r="AN156" s="149"/>
      <c r="AO156" s="149"/>
      <c r="AP156" s="149"/>
      <c r="AQ156" s="149"/>
      <c r="AR156" s="149"/>
      <c r="AS156" s="1008"/>
      <c r="AU156" s="1011">
        <f t="shared" si="103"/>
        <v>0.27666879701640368</v>
      </c>
      <c r="AV156" s="1008">
        <f t="shared" si="146"/>
        <v>96000000</v>
      </c>
      <c r="AW156" s="1008"/>
      <c r="AX156" s="1008"/>
      <c r="AY156" s="1008"/>
      <c r="AZ156" s="1008">
        <f>+'[16]AGOSTO 2015'!$M$233</f>
        <v>96000000</v>
      </c>
      <c r="BA156" s="1008"/>
      <c r="BB156" s="1008"/>
      <c r="BC156" s="1008"/>
      <c r="BD156" s="1008"/>
      <c r="BE156" s="1008"/>
      <c r="BF156" s="1008"/>
      <c r="BG156" s="1008"/>
      <c r="BH156" s="1008"/>
      <c r="BI156" s="1008"/>
      <c r="BJ156" s="1008"/>
      <c r="BK156" s="1008"/>
      <c r="BL156" s="1008"/>
      <c r="BM156" s="1008"/>
      <c r="BN156" s="1008"/>
      <c r="BO156" s="1008"/>
      <c r="BP156" s="1008"/>
      <c r="BQ156" s="1011">
        <f t="shared" si="105"/>
        <v>0.72333120298359632</v>
      </c>
      <c r="BR156" s="1008">
        <f t="shared" si="147"/>
        <v>250985280</v>
      </c>
      <c r="BS156" s="1008">
        <f t="shared" si="164"/>
        <v>0</v>
      </c>
      <c r="BT156" s="1008">
        <f t="shared" si="165"/>
        <v>0</v>
      </c>
      <c r="BU156" s="1008"/>
      <c r="BV156" s="1008">
        <f t="shared" si="162"/>
        <v>250985280</v>
      </c>
      <c r="BW156" s="1008">
        <f t="shared" si="162"/>
        <v>0</v>
      </c>
      <c r="BX156" s="1008">
        <f t="shared" si="166"/>
        <v>0</v>
      </c>
      <c r="BY156" s="1008">
        <f t="shared" si="166"/>
        <v>0</v>
      </c>
      <c r="BZ156" s="1008"/>
      <c r="CA156" s="1008">
        <f t="shared" si="167"/>
        <v>0</v>
      </c>
      <c r="CB156" s="1008">
        <f t="shared" si="167"/>
        <v>0</v>
      </c>
      <c r="CC156" s="1008">
        <f t="shared" si="167"/>
        <v>0</v>
      </c>
      <c r="CD156" s="1008">
        <f t="shared" si="167"/>
        <v>0</v>
      </c>
      <c r="CE156" s="1008">
        <f t="shared" si="167"/>
        <v>0</v>
      </c>
      <c r="CF156" s="1008">
        <f t="shared" si="167"/>
        <v>0</v>
      </c>
      <c r="CG156" s="1008">
        <f t="shared" si="167"/>
        <v>0</v>
      </c>
      <c r="CH156" s="1008">
        <f t="shared" si="167"/>
        <v>0</v>
      </c>
      <c r="CI156" s="1008">
        <f t="shared" si="167"/>
        <v>0</v>
      </c>
      <c r="CJ156" s="1008"/>
      <c r="CK156" s="1008">
        <f t="shared" si="168"/>
        <v>0</v>
      </c>
      <c r="CL156" s="1008">
        <f t="shared" si="168"/>
        <v>0</v>
      </c>
      <c r="CM156" s="1011">
        <f t="shared" si="113"/>
        <v>0.27666879701640368</v>
      </c>
      <c r="CN156" s="1008">
        <f t="shared" si="154"/>
        <v>96000000</v>
      </c>
      <c r="CO156" s="1008"/>
      <c r="CP156" s="1008"/>
      <c r="CQ156" s="1008"/>
      <c r="CR156" s="1008">
        <f>+'[16]AGOSTO 2015'!$H$231</f>
        <v>96000000</v>
      </c>
      <c r="CS156" s="1008"/>
      <c r="CT156" s="1008"/>
      <c r="CU156" s="1008"/>
      <c r="CV156" s="1008"/>
      <c r="CW156" s="1008"/>
      <c r="CX156" s="1008"/>
      <c r="CY156" s="1008"/>
      <c r="CZ156" s="1008"/>
      <c r="DA156" s="1008"/>
      <c r="DB156" s="1008"/>
      <c r="DC156" s="1008"/>
      <c r="DD156" s="1008"/>
      <c r="DE156" s="1008"/>
      <c r="DF156" s="1008"/>
      <c r="DG156" s="1008"/>
      <c r="DH156" s="1008"/>
      <c r="DI156" s="1011">
        <f t="shared" si="115"/>
        <v>0.72333120298359632</v>
      </c>
      <c r="DJ156" s="1008">
        <f t="shared" si="155"/>
        <v>250985280</v>
      </c>
      <c r="DK156" s="1008"/>
      <c r="DL156" s="1008"/>
      <c r="DM156" s="1008"/>
      <c r="DN156" s="1008">
        <f t="shared" si="163"/>
        <v>250985280</v>
      </c>
      <c r="DO156" s="1008">
        <f t="shared" si="163"/>
        <v>0</v>
      </c>
      <c r="DP156" s="1008">
        <f t="shared" si="163"/>
        <v>0</v>
      </c>
      <c r="DQ156" s="1008">
        <f t="shared" si="163"/>
        <v>0</v>
      </c>
      <c r="DR156" s="1008"/>
      <c r="DS156" s="1008">
        <f t="shared" si="169"/>
        <v>0</v>
      </c>
      <c r="DT156" s="1008">
        <f t="shared" si="169"/>
        <v>0</v>
      </c>
      <c r="DU156" s="1008"/>
      <c r="DV156" s="1008">
        <f t="shared" si="170"/>
        <v>0</v>
      </c>
      <c r="DW156" s="1008">
        <f t="shared" si="170"/>
        <v>0</v>
      </c>
      <c r="DX156" s="1008">
        <f t="shared" si="170"/>
        <v>0</v>
      </c>
      <c r="DY156" s="1008">
        <f t="shared" si="171"/>
        <v>0</v>
      </c>
      <c r="DZ156" s="1008">
        <f t="shared" si="171"/>
        <v>0</v>
      </c>
      <c r="EA156" s="1008">
        <f t="shared" si="171"/>
        <v>0</v>
      </c>
      <c r="EB156" s="1008">
        <f t="shared" si="171"/>
        <v>0</v>
      </c>
      <c r="EC156" s="1008">
        <f t="shared" si="171"/>
        <v>0</v>
      </c>
      <c r="ED156" s="1008">
        <f t="shared" si="172"/>
        <v>0</v>
      </c>
    </row>
    <row r="157" spans="1:134" ht="45.75" hidden="1" customHeight="1" x14ac:dyDescent="0.25">
      <c r="A157" s="1560"/>
      <c r="B157" s="989"/>
      <c r="C157" s="1635" t="s">
        <v>4519</v>
      </c>
      <c r="D157" s="1053" t="s">
        <v>4554</v>
      </c>
      <c r="E157" s="994">
        <v>211</v>
      </c>
      <c r="F157" s="1054" t="s">
        <v>4482</v>
      </c>
      <c r="G157" s="1400"/>
      <c r="H157" s="1061">
        <f t="shared" si="143"/>
        <v>26866695</v>
      </c>
      <c r="I157" s="1061">
        <f t="shared" si="144"/>
        <v>13133305</v>
      </c>
      <c r="J157" s="1581">
        <v>54</v>
      </c>
      <c r="K157" s="1582">
        <v>71</v>
      </c>
      <c r="L157" s="1305">
        <v>56</v>
      </c>
      <c r="M157" s="1119">
        <v>0</v>
      </c>
      <c r="N157" s="1119">
        <v>0</v>
      </c>
      <c r="O157" s="1119">
        <v>0</v>
      </c>
      <c r="P157" s="1115">
        <v>0</v>
      </c>
      <c r="Q157" s="1115">
        <v>0</v>
      </c>
      <c r="R157" s="1115">
        <v>0</v>
      </c>
      <c r="S157" s="1054"/>
      <c r="T157" s="1054"/>
      <c r="U157" s="1054"/>
      <c r="V157" s="1054"/>
      <c r="W157" s="1054"/>
      <c r="X157" s="1054"/>
      <c r="Y157" s="1008">
        <f t="shared" si="145"/>
        <v>40000000</v>
      </c>
      <c r="Z157" s="944"/>
      <c r="AA157" s="944"/>
      <c r="AB157" s="944"/>
      <c r="AC157" s="1008">
        <f>90000000+500000000-250000000-300000000-39070000</f>
        <v>930000</v>
      </c>
      <c r="AD157" s="944"/>
      <c r="AE157" s="944"/>
      <c r="AF157" s="1008"/>
      <c r="AG157" s="1008"/>
      <c r="AH157" s="1008"/>
      <c r="AI157" s="1008"/>
      <c r="AJ157" s="1008"/>
      <c r="AK157" s="1008"/>
      <c r="AL157" s="1008"/>
      <c r="AM157" s="149"/>
      <c r="AN157" s="149">
        <f>39070000</f>
        <v>39070000</v>
      </c>
      <c r="AO157" s="149"/>
      <c r="AP157" s="149"/>
      <c r="AQ157" s="149"/>
      <c r="AR157" s="149"/>
      <c r="AS157" s="1008"/>
      <c r="AU157" s="1011">
        <f t="shared" si="103"/>
        <v>0.85004464999999996</v>
      </c>
      <c r="AV157" s="1008">
        <f t="shared" si="146"/>
        <v>34001786</v>
      </c>
      <c r="AW157" s="1008"/>
      <c r="AX157" s="1008"/>
      <c r="AY157" s="1008"/>
      <c r="AZ157" s="1008">
        <f>+'[14]JUNIO 2015'!$M$212</f>
        <v>930000</v>
      </c>
      <c r="BA157" s="1008"/>
      <c r="BB157" s="1008"/>
      <c r="BC157" s="1008"/>
      <c r="BD157" s="1008"/>
      <c r="BE157" s="1008"/>
      <c r="BF157" s="1008"/>
      <c r="BG157" s="1008"/>
      <c r="BH157" s="1008"/>
      <c r="BI157" s="1008"/>
      <c r="BJ157" s="1008"/>
      <c r="BK157" s="1008">
        <f>+'[18]OCTUBRE 2015'!$X$259</f>
        <v>33071786</v>
      </c>
      <c r="BL157" s="1008"/>
      <c r="BM157" s="1008"/>
      <c r="BN157" s="1008"/>
      <c r="BO157" s="1008"/>
      <c r="BP157" s="1008"/>
      <c r="BQ157" s="1011">
        <f t="shared" si="105"/>
        <v>0.14995535000000004</v>
      </c>
      <c r="BR157" s="1008">
        <f t="shared" si="147"/>
        <v>5998214</v>
      </c>
      <c r="BS157" s="1008">
        <f t="shared" si="164"/>
        <v>0</v>
      </c>
      <c r="BT157" s="1008">
        <f t="shared" si="165"/>
        <v>0</v>
      </c>
      <c r="BU157" s="1008"/>
      <c r="BV157" s="1008">
        <f t="shared" si="162"/>
        <v>0</v>
      </c>
      <c r="BW157" s="1008">
        <f t="shared" si="162"/>
        <v>0</v>
      </c>
      <c r="BX157" s="1008">
        <f t="shared" si="166"/>
        <v>0</v>
      </c>
      <c r="BY157" s="1008">
        <f t="shared" si="166"/>
        <v>0</v>
      </c>
      <c r="BZ157" s="1008"/>
      <c r="CA157" s="1008">
        <f t="shared" si="167"/>
        <v>0</v>
      </c>
      <c r="CB157" s="1008">
        <f t="shared" si="167"/>
        <v>0</v>
      </c>
      <c r="CC157" s="1008">
        <f t="shared" si="167"/>
        <v>0</v>
      </c>
      <c r="CD157" s="1008">
        <f t="shared" si="167"/>
        <v>0</v>
      </c>
      <c r="CE157" s="1008">
        <f t="shared" si="167"/>
        <v>0</v>
      </c>
      <c r="CF157" s="1008">
        <f t="shared" si="167"/>
        <v>0</v>
      </c>
      <c r="CG157" s="1008">
        <f t="shared" si="167"/>
        <v>5998214</v>
      </c>
      <c r="CH157" s="1008">
        <f t="shared" si="167"/>
        <v>0</v>
      </c>
      <c r="CI157" s="1008">
        <f t="shared" si="167"/>
        <v>0</v>
      </c>
      <c r="CJ157" s="1008"/>
      <c r="CK157" s="1008">
        <f t="shared" si="168"/>
        <v>0</v>
      </c>
      <c r="CL157" s="1008">
        <f t="shared" si="168"/>
        <v>0</v>
      </c>
      <c r="CM157" s="1011">
        <f t="shared" si="113"/>
        <v>0.67166737499999996</v>
      </c>
      <c r="CN157" s="1008">
        <f t="shared" si="154"/>
        <v>26866695</v>
      </c>
      <c r="CO157" s="1008"/>
      <c r="CP157" s="1008"/>
      <c r="CQ157" s="1008"/>
      <c r="CR157" s="1008">
        <f>+'[14]JUNIO 2015'!$H$210</f>
        <v>186695</v>
      </c>
      <c r="CS157" s="1008"/>
      <c r="CT157" s="1008"/>
      <c r="CU157" s="1008"/>
      <c r="CV157" s="1008"/>
      <c r="CW157" s="1008"/>
      <c r="CX157" s="1008"/>
      <c r="CY157" s="1008"/>
      <c r="CZ157" s="1008"/>
      <c r="DA157" s="1008"/>
      <c r="DB157" s="1008"/>
      <c r="DC157" s="1008">
        <f>+'[18]OCTUBRE 2015'!$H$264</f>
        <v>26680000</v>
      </c>
      <c r="DD157" s="1008"/>
      <c r="DE157" s="1008"/>
      <c r="DF157" s="1008"/>
      <c r="DG157" s="1008"/>
      <c r="DH157" s="1008"/>
      <c r="DI157" s="1011">
        <f t="shared" si="115"/>
        <v>0.32833262500000004</v>
      </c>
      <c r="DJ157" s="1008">
        <f t="shared" si="155"/>
        <v>13133305</v>
      </c>
      <c r="DK157" s="1008"/>
      <c r="DL157" s="1008"/>
      <c r="DM157" s="1008"/>
      <c r="DN157" s="1008">
        <f t="shared" si="163"/>
        <v>743305</v>
      </c>
      <c r="DO157" s="1008">
        <f t="shared" si="163"/>
        <v>0</v>
      </c>
      <c r="DP157" s="1008">
        <f t="shared" si="163"/>
        <v>0</v>
      </c>
      <c r="DQ157" s="1008">
        <f t="shared" si="163"/>
        <v>0</v>
      </c>
      <c r="DR157" s="1008"/>
      <c r="DS157" s="1008">
        <f t="shared" si="169"/>
        <v>0</v>
      </c>
      <c r="DT157" s="1008">
        <f t="shared" si="169"/>
        <v>0</v>
      </c>
      <c r="DU157" s="1008"/>
      <c r="DV157" s="1008">
        <f t="shared" si="170"/>
        <v>0</v>
      </c>
      <c r="DW157" s="1008">
        <f t="shared" si="170"/>
        <v>0</v>
      </c>
      <c r="DX157" s="1008">
        <f t="shared" si="170"/>
        <v>0</v>
      </c>
      <c r="DY157" s="1008">
        <f t="shared" si="171"/>
        <v>12390000</v>
      </c>
      <c r="DZ157" s="1008">
        <f t="shared" si="171"/>
        <v>0</v>
      </c>
      <c r="EA157" s="1008">
        <f t="shared" si="171"/>
        <v>0</v>
      </c>
      <c r="EB157" s="1008">
        <f t="shared" si="171"/>
        <v>0</v>
      </c>
      <c r="EC157" s="1008">
        <f t="shared" si="171"/>
        <v>0</v>
      </c>
      <c r="ED157" s="1008">
        <f t="shared" si="172"/>
        <v>0</v>
      </c>
    </row>
    <row r="158" spans="1:134" s="203" customFormat="1" ht="35.25" hidden="1" customHeight="1" x14ac:dyDescent="0.25">
      <c r="A158" s="1560"/>
      <c r="B158" s="989"/>
      <c r="C158" s="1631" t="s">
        <v>4520</v>
      </c>
      <c r="D158" s="1019" t="s">
        <v>4555</v>
      </c>
      <c r="E158" s="989">
        <v>211</v>
      </c>
      <c r="F158" s="1120" t="s">
        <v>4482</v>
      </c>
      <c r="G158" s="1400"/>
      <c r="H158" s="1061">
        <f t="shared" si="143"/>
        <v>299999200</v>
      </c>
      <c r="I158" s="1061">
        <f t="shared" si="144"/>
        <v>800</v>
      </c>
      <c r="J158" s="1581"/>
      <c r="K158" s="1582"/>
      <c r="L158" s="1305"/>
      <c r="M158" s="1077">
        <v>0</v>
      </c>
      <c r="N158" s="1077">
        <v>0</v>
      </c>
      <c r="O158" s="1077">
        <v>0</v>
      </c>
      <c r="P158" s="1075"/>
      <c r="Q158" s="1075"/>
      <c r="R158" s="1075"/>
      <c r="S158" s="1120"/>
      <c r="T158" s="1120"/>
      <c r="U158" s="1120"/>
      <c r="V158" s="1120"/>
      <c r="W158" s="1120"/>
      <c r="X158" s="1120"/>
      <c r="Y158" s="1067">
        <f t="shared" si="145"/>
        <v>300000000</v>
      </c>
      <c r="Z158" s="149"/>
      <c r="AA158" s="149"/>
      <c r="AB158" s="149"/>
      <c r="AC158" s="1067">
        <f>300000000-300000000+300000000</f>
        <v>300000000</v>
      </c>
      <c r="AD158" s="149"/>
      <c r="AE158" s="149"/>
      <c r="AF158" s="1067"/>
      <c r="AG158" s="1067"/>
      <c r="AH158" s="1067"/>
      <c r="AI158" s="1067"/>
      <c r="AJ158" s="1067"/>
      <c r="AK158" s="1067"/>
      <c r="AL158" s="1067"/>
      <c r="AM158" s="149"/>
      <c r="AN158" s="149"/>
      <c r="AO158" s="149"/>
      <c r="AP158" s="149"/>
      <c r="AQ158" s="149"/>
      <c r="AR158" s="149"/>
      <c r="AS158" s="1067"/>
      <c r="AU158" s="1082">
        <f t="shared" si="103"/>
        <v>0.99999733333333329</v>
      </c>
      <c r="AV158" s="1067">
        <f t="shared" si="146"/>
        <v>299999200</v>
      </c>
      <c r="AW158" s="1067"/>
      <c r="AX158" s="1067"/>
      <c r="AY158" s="1067"/>
      <c r="AZ158" s="1067">
        <f>+'[18]OCTUBRE 2015'!$M$271</f>
        <v>299999200</v>
      </c>
      <c r="BA158" s="1067"/>
      <c r="BB158" s="1067"/>
      <c r="BC158" s="1067"/>
      <c r="BD158" s="1067"/>
      <c r="BE158" s="1067"/>
      <c r="BF158" s="1067"/>
      <c r="BG158" s="1067"/>
      <c r="BH158" s="1067"/>
      <c r="BI158" s="1067"/>
      <c r="BJ158" s="1067"/>
      <c r="BK158" s="1067"/>
      <c r="BL158" s="1067"/>
      <c r="BM158" s="1067"/>
      <c r="BN158" s="1067"/>
      <c r="BO158" s="1067"/>
      <c r="BP158" s="1067"/>
      <c r="BQ158" s="1082">
        <f t="shared" si="105"/>
        <v>2.666666666706341E-6</v>
      </c>
      <c r="BR158" s="1067">
        <f t="shared" si="147"/>
        <v>800</v>
      </c>
      <c r="BS158" s="1067">
        <f t="shared" si="164"/>
        <v>0</v>
      </c>
      <c r="BT158" s="1067">
        <f t="shared" si="165"/>
        <v>0</v>
      </c>
      <c r="BU158" s="1067"/>
      <c r="BV158" s="1067">
        <f t="shared" si="162"/>
        <v>800</v>
      </c>
      <c r="BW158" s="1067">
        <f t="shared" si="162"/>
        <v>0</v>
      </c>
      <c r="BX158" s="1067">
        <f t="shared" si="166"/>
        <v>0</v>
      </c>
      <c r="BY158" s="1067">
        <f t="shared" si="166"/>
        <v>0</v>
      </c>
      <c r="BZ158" s="1067"/>
      <c r="CA158" s="1067">
        <f t="shared" si="167"/>
        <v>0</v>
      </c>
      <c r="CB158" s="1067">
        <f t="shared" si="167"/>
        <v>0</v>
      </c>
      <c r="CC158" s="1067">
        <f t="shared" si="167"/>
        <v>0</v>
      </c>
      <c r="CD158" s="1067">
        <f t="shared" si="167"/>
        <v>0</v>
      </c>
      <c r="CE158" s="1067">
        <f t="shared" si="167"/>
        <v>0</v>
      </c>
      <c r="CF158" s="1067">
        <f t="shared" si="167"/>
        <v>0</v>
      </c>
      <c r="CG158" s="1067">
        <f t="shared" si="167"/>
        <v>0</v>
      </c>
      <c r="CH158" s="1067">
        <f t="shared" si="167"/>
        <v>0</v>
      </c>
      <c r="CI158" s="1067">
        <f t="shared" si="167"/>
        <v>0</v>
      </c>
      <c r="CJ158" s="1067"/>
      <c r="CK158" s="1067">
        <f t="shared" si="168"/>
        <v>0</v>
      </c>
      <c r="CL158" s="1067">
        <f t="shared" si="168"/>
        <v>0</v>
      </c>
      <c r="CM158" s="1082">
        <f t="shared" si="113"/>
        <v>0.99999733333333329</v>
      </c>
      <c r="CN158" s="1067">
        <f t="shared" si="154"/>
        <v>299999200</v>
      </c>
      <c r="CO158" s="1067"/>
      <c r="CP158" s="1067"/>
      <c r="CQ158" s="1067"/>
      <c r="CR158" s="1067">
        <f>+'[18]OCTUBRE 2015'!$H$269</f>
        <v>299999200</v>
      </c>
      <c r="CS158" s="1067"/>
      <c r="CT158" s="1067"/>
      <c r="CU158" s="1067"/>
      <c r="CV158" s="1067"/>
      <c r="CW158" s="1067"/>
      <c r="CX158" s="1067"/>
      <c r="CY158" s="1067"/>
      <c r="CZ158" s="1067"/>
      <c r="DA158" s="1067"/>
      <c r="DB158" s="1067"/>
      <c r="DC158" s="1067"/>
      <c r="DD158" s="1067"/>
      <c r="DE158" s="1067"/>
      <c r="DF158" s="1067"/>
      <c r="DG158" s="1067"/>
      <c r="DH158" s="1067"/>
      <c r="DI158" s="1082">
        <f t="shared" si="115"/>
        <v>2.666666666706341E-6</v>
      </c>
      <c r="DJ158" s="1067">
        <f t="shared" si="155"/>
        <v>800</v>
      </c>
      <c r="DK158" s="1067"/>
      <c r="DL158" s="1067"/>
      <c r="DM158" s="1067"/>
      <c r="DN158" s="1067">
        <f t="shared" si="163"/>
        <v>800</v>
      </c>
      <c r="DO158" s="1067">
        <f t="shared" si="163"/>
        <v>0</v>
      </c>
      <c r="DP158" s="1067">
        <f t="shared" si="163"/>
        <v>0</v>
      </c>
      <c r="DQ158" s="1067">
        <f t="shared" si="163"/>
        <v>0</v>
      </c>
      <c r="DR158" s="1067"/>
      <c r="DS158" s="1067">
        <f t="shared" si="169"/>
        <v>0</v>
      </c>
      <c r="DT158" s="1067">
        <f t="shared" si="169"/>
        <v>0</v>
      </c>
      <c r="DU158" s="1067"/>
      <c r="DV158" s="1067">
        <f t="shared" si="170"/>
        <v>0</v>
      </c>
      <c r="DW158" s="1067">
        <f t="shared" si="170"/>
        <v>0</v>
      </c>
      <c r="DX158" s="1067">
        <f t="shared" si="170"/>
        <v>0</v>
      </c>
      <c r="DY158" s="1067">
        <f t="shared" si="171"/>
        <v>0</v>
      </c>
      <c r="DZ158" s="1067">
        <f t="shared" si="171"/>
        <v>0</v>
      </c>
      <c r="EA158" s="1067">
        <f t="shared" si="171"/>
        <v>0</v>
      </c>
      <c r="EB158" s="1067">
        <f t="shared" si="171"/>
        <v>0</v>
      </c>
      <c r="EC158" s="1067">
        <f t="shared" si="171"/>
        <v>0</v>
      </c>
      <c r="ED158" s="1067">
        <f t="shared" si="172"/>
        <v>0</v>
      </c>
    </row>
    <row r="159" spans="1:134" ht="36.75" hidden="1" customHeight="1" x14ac:dyDescent="0.25">
      <c r="A159" s="1560"/>
      <c r="B159" s="989"/>
      <c r="C159" s="1635" t="s">
        <v>4521</v>
      </c>
      <c r="D159" s="1019" t="s">
        <v>4504</v>
      </c>
      <c r="E159" s="994">
        <v>211</v>
      </c>
      <c r="F159" s="1120" t="s">
        <v>4506</v>
      </c>
      <c r="G159" s="1400"/>
      <c r="H159" s="1061">
        <f t="shared" si="143"/>
        <v>0</v>
      </c>
      <c r="I159" s="1061">
        <f t="shared" si="144"/>
        <v>4200000</v>
      </c>
      <c r="J159" s="1581"/>
      <c r="K159" s="1582"/>
      <c r="L159" s="1305"/>
      <c r="M159" s="1119">
        <v>0</v>
      </c>
      <c r="N159" s="1119">
        <v>0</v>
      </c>
      <c r="O159" s="1119">
        <v>0</v>
      </c>
      <c r="P159" s="1115">
        <v>0</v>
      </c>
      <c r="Q159" s="1115">
        <v>0</v>
      </c>
      <c r="R159" s="1115">
        <v>0</v>
      </c>
      <c r="S159" s="1120"/>
      <c r="T159" s="1120"/>
      <c r="U159" s="1120"/>
      <c r="V159" s="1120"/>
      <c r="W159" s="1120"/>
      <c r="X159" s="1120"/>
      <c r="Y159" s="1008">
        <f t="shared" si="145"/>
        <v>4200000</v>
      </c>
      <c r="Z159" s="944"/>
      <c r="AA159" s="944"/>
      <c r="AB159" s="944"/>
      <c r="AC159" s="1008"/>
      <c r="AD159" s="944"/>
      <c r="AE159" s="944"/>
      <c r="AF159" s="1008"/>
      <c r="AG159" s="1008"/>
      <c r="AH159" s="1008"/>
      <c r="AI159" s="1008"/>
      <c r="AJ159" s="1008"/>
      <c r="AK159" s="1008"/>
      <c r="AL159" s="1008"/>
      <c r="AM159" s="149"/>
      <c r="AN159" s="149"/>
      <c r="AO159" s="149"/>
      <c r="AP159" s="149"/>
      <c r="AQ159" s="149"/>
      <c r="AR159" s="149"/>
      <c r="AS159" s="1008">
        <f>4200000</f>
        <v>4200000</v>
      </c>
      <c r="AU159" s="1011">
        <f t="shared" si="103"/>
        <v>1</v>
      </c>
      <c r="AV159" s="1008">
        <f t="shared" si="146"/>
        <v>4200000</v>
      </c>
      <c r="AW159" s="1008"/>
      <c r="AX159" s="1008"/>
      <c r="AY159" s="1008"/>
      <c r="AZ159" s="1008"/>
      <c r="BA159" s="1008"/>
      <c r="BB159" s="1008"/>
      <c r="BC159" s="1008"/>
      <c r="BD159" s="1008"/>
      <c r="BE159" s="1008"/>
      <c r="BF159" s="1008"/>
      <c r="BG159" s="1008"/>
      <c r="BH159" s="1008"/>
      <c r="BI159" s="1008"/>
      <c r="BJ159" s="1008"/>
      <c r="BK159" s="1008"/>
      <c r="BL159" s="1008"/>
      <c r="BM159" s="1008"/>
      <c r="BN159" s="1008"/>
      <c r="BO159" s="1008"/>
      <c r="BP159" s="1008">
        <f>+'[7]ENERO 2015'!$AA$166</f>
        <v>4200000</v>
      </c>
      <c r="BQ159" s="1011">
        <f t="shared" si="105"/>
        <v>0</v>
      </c>
      <c r="BR159" s="1008">
        <f t="shared" si="147"/>
        <v>0</v>
      </c>
      <c r="BS159" s="1008">
        <f t="shared" si="164"/>
        <v>0</v>
      </c>
      <c r="BT159" s="1008">
        <f t="shared" si="165"/>
        <v>0</v>
      </c>
      <c r="BU159" s="1008"/>
      <c r="BV159" s="1008">
        <f t="shared" si="162"/>
        <v>0</v>
      </c>
      <c r="BW159" s="1008">
        <f t="shared" si="162"/>
        <v>0</v>
      </c>
      <c r="BX159" s="1008">
        <f t="shared" si="166"/>
        <v>0</v>
      </c>
      <c r="BY159" s="1008">
        <f t="shared" si="166"/>
        <v>0</v>
      </c>
      <c r="BZ159" s="1008"/>
      <c r="CA159" s="1008">
        <f t="shared" si="167"/>
        <v>0</v>
      </c>
      <c r="CB159" s="1008">
        <f t="shared" si="167"/>
        <v>0</v>
      </c>
      <c r="CC159" s="1008">
        <f t="shared" si="167"/>
        <v>0</v>
      </c>
      <c r="CD159" s="1008">
        <f t="shared" si="167"/>
        <v>0</v>
      </c>
      <c r="CE159" s="1008">
        <f t="shared" si="167"/>
        <v>0</v>
      </c>
      <c r="CF159" s="1008">
        <f t="shared" si="167"/>
        <v>0</v>
      </c>
      <c r="CG159" s="1008">
        <f t="shared" si="167"/>
        <v>0</v>
      </c>
      <c r="CH159" s="1008">
        <f t="shared" si="167"/>
        <v>0</v>
      </c>
      <c r="CI159" s="1008">
        <f t="shared" si="167"/>
        <v>0</v>
      </c>
      <c r="CJ159" s="1008"/>
      <c r="CK159" s="1008">
        <f t="shared" si="168"/>
        <v>0</v>
      </c>
      <c r="CL159" s="1008">
        <f t="shared" si="168"/>
        <v>0</v>
      </c>
      <c r="CM159" s="1011">
        <f t="shared" si="113"/>
        <v>0</v>
      </c>
      <c r="CN159" s="1008">
        <f t="shared" si="154"/>
        <v>0</v>
      </c>
      <c r="CO159" s="1008"/>
      <c r="CP159" s="1008"/>
      <c r="CQ159" s="1008"/>
      <c r="CR159" s="1008"/>
      <c r="CS159" s="1008"/>
      <c r="CT159" s="1008"/>
      <c r="CU159" s="1008"/>
      <c r="CV159" s="1008"/>
      <c r="CW159" s="1008"/>
      <c r="CX159" s="1008"/>
      <c r="CY159" s="1008"/>
      <c r="CZ159" s="1008"/>
      <c r="DA159" s="1008"/>
      <c r="DB159" s="1008"/>
      <c r="DC159" s="1008"/>
      <c r="DD159" s="1008"/>
      <c r="DE159" s="1008"/>
      <c r="DF159" s="1008"/>
      <c r="DG159" s="1008"/>
      <c r="DH159" s="1008"/>
      <c r="DI159" s="1011">
        <f t="shared" si="115"/>
        <v>1</v>
      </c>
      <c r="DJ159" s="1008">
        <f t="shared" si="155"/>
        <v>4200000</v>
      </c>
      <c r="DK159" s="1008"/>
      <c r="DL159" s="1008"/>
      <c r="DM159" s="1008"/>
      <c r="DN159" s="1008">
        <f t="shared" si="163"/>
        <v>0</v>
      </c>
      <c r="DO159" s="1008">
        <f t="shared" si="163"/>
        <v>0</v>
      </c>
      <c r="DP159" s="1008">
        <f t="shared" si="163"/>
        <v>0</v>
      </c>
      <c r="DQ159" s="1008">
        <f t="shared" si="163"/>
        <v>0</v>
      </c>
      <c r="DR159" s="1008"/>
      <c r="DS159" s="1008">
        <f t="shared" si="169"/>
        <v>0</v>
      </c>
      <c r="DT159" s="1008">
        <f t="shared" si="169"/>
        <v>0</v>
      </c>
      <c r="DU159" s="1008"/>
      <c r="DV159" s="1008">
        <f t="shared" si="170"/>
        <v>0</v>
      </c>
      <c r="DW159" s="1008">
        <f t="shared" si="170"/>
        <v>0</v>
      </c>
      <c r="DX159" s="1008">
        <f t="shared" si="170"/>
        <v>0</v>
      </c>
      <c r="DY159" s="1008">
        <f t="shared" si="171"/>
        <v>0</v>
      </c>
      <c r="DZ159" s="1008">
        <f t="shared" si="171"/>
        <v>0</v>
      </c>
      <c r="EA159" s="1008">
        <f t="shared" si="171"/>
        <v>0</v>
      </c>
      <c r="EB159" s="1008">
        <f t="shared" si="171"/>
        <v>0</v>
      </c>
      <c r="EC159" s="1008">
        <f t="shared" si="171"/>
        <v>0</v>
      </c>
      <c r="ED159" s="1008">
        <f t="shared" si="172"/>
        <v>4200000</v>
      </c>
    </row>
    <row r="160" spans="1:134" ht="21" hidden="1" customHeight="1" x14ac:dyDescent="0.25">
      <c r="A160" s="1560"/>
      <c r="B160" s="989"/>
      <c r="C160" s="1635" t="s">
        <v>4522</v>
      </c>
      <c r="D160" s="1019" t="s">
        <v>4505</v>
      </c>
      <c r="E160" s="994">
        <v>211</v>
      </c>
      <c r="F160" s="1120" t="s">
        <v>4482</v>
      </c>
      <c r="G160" s="1400"/>
      <c r="H160" s="1061">
        <f t="shared" si="143"/>
        <v>10200000</v>
      </c>
      <c r="I160" s="1061">
        <f t="shared" si="144"/>
        <v>20541545</v>
      </c>
      <c r="J160" s="1399">
        <v>299</v>
      </c>
      <c r="K160" s="1283">
        <v>399</v>
      </c>
      <c r="L160" s="1283">
        <v>309</v>
      </c>
      <c r="M160" s="1119">
        <v>0</v>
      </c>
      <c r="N160" s="1119">
        <v>0</v>
      </c>
      <c r="O160" s="1119">
        <v>0</v>
      </c>
      <c r="P160" s="1115">
        <v>0</v>
      </c>
      <c r="Q160" s="1115">
        <v>0</v>
      </c>
      <c r="R160" s="1115">
        <v>0</v>
      </c>
      <c r="S160" s="1120"/>
      <c r="T160" s="1120"/>
      <c r="U160" s="1120"/>
      <c r="V160" s="1120"/>
      <c r="W160" s="1120"/>
      <c r="X160" s="1120"/>
      <c r="Y160" s="1008">
        <f t="shared" si="145"/>
        <v>30741545</v>
      </c>
      <c r="Z160" s="944"/>
      <c r="AA160" s="944"/>
      <c r="AB160" s="944"/>
      <c r="AC160" s="1008">
        <f>124058456-124058456</f>
        <v>0</v>
      </c>
      <c r="AD160" s="944"/>
      <c r="AE160" s="944"/>
      <c r="AF160" s="1008"/>
      <c r="AG160" s="1008"/>
      <c r="AH160" s="1008"/>
      <c r="AI160" s="1008"/>
      <c r="AJ160" s="1008"/>
      <c r="AK160" s="1008">
        <v>30741545</v>
      </c>
      <c r="AL160" s="1008"/>
      <c r="AM160" s="149"/>
      <c r="AN160" s="149"/>
      <c r="AO160" s="149"/>
      <c r="AP160" s="149"/>
      <c r="AQ160" s="149"/>
      <c r="AR160" s="149"/>
      <c r="AS160" s="1008"/>
      <c r="AU160" s="1011">
        <f t="shared" si="103"/>
        <v>0.33179854818617605</v>
      </c>
      <c r="AV160" s="1008">
        <f t="shared" si="146"/>
        <v>10200000</v>
      </c>
      <c r="AW160" s="1008"/>
      <c r="AX160" s="1008"/>
      <c r="AY160" s="1008"/>
      <c r="AZ160" s="1008"/>
      <c r="BA160" s="1008"/>
      <c r="BB160" s="1008"/>
      <c r="BC160" s="1008"/>
      <c r="BD160" s="1008"/>
      <c r="BE160" s="1008"/>
      <c r="BF160" s="1008"/>
      <c r="BG160" s="1008"/>
      <c r="BH160" s="1008">
        <f>+'[17]SEPTIEMBRE 2015'!$U$271</f>
        <v>10200000</v>
      </c>
      <c r="BI160" s="1008"/>
      <c r="BJ160" s="1008"/>
      <c r="BK160" s="1008"/>
      <c r="BL160" s="1008"/>
      <c r="BM160" s="1008"/>
      <c r="BN160" s="1008"/>
      <c r="BO160" s="1008"/>
      <c r="BP160" s="1008"/>
      <c r="BQ160" s="1011">
        <f t="shared" si="105"/>
        <v>0.66820145181382395</v>
      </c>
      <c r="BR160" s="1008">
        <f t="shared" si="147"/>
        <v>20541545</v>
      </c>
      <c r="BS160" s="1008">
        <f t="shared" si="164"/>
        <v>0</v>
      </c>
      <c r="BT160" s="1008">
        <f t="shared" si="165"/>
        <v>0</v>
      </c>
      <c r="BU160" s="1008"/>
      <c r="BV160" s="1008">
        <f t="shared" si="162"/>
        <v>0</v>
      </c>
      <c r="BW160" s="1008">
        <f t="shared" si="162"/>
        <v>0</v>
      </c>
      <c r="BX160" s="1008">
        <f t="shared" si="166"/>
        <v>0</v>
      </c>
      <c r="BY160" s="1008">
        <f t="shared" si="166"/>
        <v>0</v>
      </c>
      <c r="BZ160" s="1008"/>
      <c r="CA160" s="1008">
        <f t="shared" si="167"/>
        <v>0</v>
      </c>
      <c r="CB160" s="1008">
        <f t="shared" si="167"/>
        <v>0</v>
      </c>
      <c r="CC160" s="1008">
        <f t="shared" si="167"/>
        <v>0</v>
      </c>
      <c r="CD160" s="1008">
        <f t="shared" si="167"/>
        <v>20541545</v>
      </c>
      <c r="CE160" s="1008">
        <f t="shared" si="167"/>
        <v>0</v>
      </c>
      <c r="CF160" s="1008">
        <f t="shared" si="167"/>
        <v>0</v>
      </c>
      <c r="CG160" s="1008">
        <f t="shared" si="167"/>
        <v>0</v>
      </c>
      <c r="CH160" s="1008">
        <f t="shared" si="167"/>
        <v>0</v>
      </c>
      <c r="CI160" s="1008">
        <f t="shared" si="167"/>
        <v>0</v>
      </c>
      <c r="CJ160" s="1008"/>
      <c r="CK160" s="1008">
        <f t="shared" si="168"/>
        <v>0</v>
      </c>
      <c r="CL160" s="1008">
        <f t="shared" si="168"/>
        <v>0</v>
      </c>
      <c r="CM160" s="1011">
        <f t="shared" si="113"/>
        <v>0.33179854818617605</v>
      </c>
      <c r="CN160" s="1008">
        <f t="shared" si="154"/>
        <v>10200000</v>
      </c>
      <c r="CO160" s="1008"/>
      <c r="CP160" s="1008"/>
      <c r="CQ160" s="1008"/>
      <c r="CR160" s="1008"/>
      <c r="CS160" s="1008"/>
      <c r="CT160" s="1008"/>
      <c r="CU160" s="1008"/>
      <c r="CV160" s="1008"/>
      <c r="CW160" s="1008"/>
      <c r="CX160" s="1008"/>
      <c r="CY160" s="1008"/>
      <c r="CZ160" s="1008">
        <f>+'[18]OCTUBRE 2015'!$U$282</f>
        <v>10200000</v>
      </c>
      <c r="DA160" s="1008"/>
      <c r="DB160" s="1008"/>
      <c r="DC160" s="1008"/>
      <c r="DD160" s="1008"/>
      <c r="DE160" s="1008"/>
      <c r="DF160" s="1008"/>
      <c r="DG160" s="1008"/>
      <c r="DH160" s="1008"/>
      <c r="DI160" s="1011">
        <f t="shared" si="115"/>
        <v>0.66820145181382395</v>
      </c>
      <c r="DJ160" s="1008">
        <f t="shared" si="155"/>
        <v>20541545</v>
      </c>
      <c r="DK160" s="1008"/>
      <c r="DL160" s="1008"/>
      <c r="DM160" s="1008"/>
      <c r="DN160" s="1008">
        <f t="shared" si="163"/>
        <v>0</v>
      </c>
      <c r="DO160" s="1008">
        <f t="shared" si="163"/>
        <v>0</v>
      </c>
      <c r="DP160" s="1008">
        <f t="shared" si="163"/>
        <v>0</v>
      </c>
      <c r="DQ160" s="1008">
        <f t="shared" si="163"/>
        <v>0</v>
      </c>
      <c r="DR160" s="1008"/>
      <c r="DS160" s="1008">
        <f t="shared" si="169"/>
        <v>0</v>
      </c>
      <c r="DT160" s="1008">
        <f t="shared" si="169"/>
        <v>0</v>
      </c>
      <c r="DU160" s="1008"/>
      <c r="DV160" s="1008">
        <f t="shared" si="170"/>
        <v>20541545</v>
      </c>
      <c r="DW160" s="1008">
        <f t="shared" si="170"/>
        <v>0</v>
      </c>
      <c r="DX160" s="1008">
        <f t="shared" si="170"/>
        <v>0</v>
      </c>
      <c r="DY160" s="1008">
        <f t="shared" si="171"/>
        <v>0</v>
      </c>
      <c r="DZ160" s="1008">
        <f t="shared" si="171"/>
        <v>0</v>
      </c>
      <c r="EA160" s="1008">
        <f t="shared" si="171"/>
        <v>0</v>
      </c>
      <c r="EB160" s="1008">
        <f t="shared" si="171"/>
        <v>0</v>
      </c>
      <c r="EC160" s="1008">
        <f t="shared" si="171"/>
        <v>0</v>
      </c>
      <c r="ED160" s="1008">
        <f t="shared" si="172"/>
        <v>0</v>
      </c>
    </row>
    <row r="161" spans="1:134" ht="40.5" hidden="1" customHeight="1" x14ac:dyDescent="0.25">
      <c r="A161" s="1560"/>
      <c r="B161" s="989"/>
      <c r="C161" s="1635" t="s">
        <v>4523</v>
      </c>
      <c r="D161" s="1019" t="s">
        <v>4507</v>
      </c>
      <c r="E161" s="994">
        <v>211</v>
      </c>
      <c r="F161" s="1120" t="s">
        <v>4482</v>
      </c>
      <c r="G161" s="1400"/>
      <c r="H161" s="1061">
        <f t="shared" si="143"/>
        <v>239816980</v>
      </c>
      <c r="I161" s="1061">
        <f t="shared" si="144"/>
        <v>0</v>
      </c>
      <c r="J161" s="1400"/>
      <c r="K161" s="1573"/>
      <c r="L161" s="1573"/>
      <c r="M161" s="1119">
        <v>0</v>
      </c>
      <c r="N161" s="1119">
        <v>0</v>
      </c>
      <c r="O161" s="1119">
        <v>0</v>
      </c>
      <c r="P161" s="1115">
        <v>100</v>
      </c>
      <c r="Q161" s="1115">
        <v>100</v>
      </c>
      <c r="R161" s="1115">
        <v>100</v>
      </c>
      <c r="S161" s="1120"/>
      <c r="T161" s="1120"/>
      <c r="U161" s="1120"/>
      <c r="V161" s="1120"/>
      <c r="W161" s="1120"/>
      <c r="X161" s="1120"/>
      <c r="Y161" s="1008">
        <f t="shared" ref="Y161:Y192" si="173">SUM(Z161:AS161)</f>
        <v>239816980</v>
      </c>
      <c r="Z161" s="944"/>
      <c r="AA161" s="944"/>
      <c r="AB161" s="944"/>
      <c r="AC161" s="1008">
        <f>101542660+138457340-183020</f>
        <v>239816980</v>
      </c>
      <c r="AD161" s="944"/>
      <c r="AE161" s="944"/>
      <c r="AF161" s="1008">
        <f>169457340-169457340</f>
        <v>0</v>
      </c>
      <c r="AG161" s="1008"/>
      <c r="AH161" s="1008"/>
      <c r="AI161" s="1008"/>
      <c r="AJ161" s="1008"/>
      <c r="AK161" s="1008"/>
      <c r="AL161" s="1008"/>
      <c r="AM161" s="149"/>
      <c r="AN161" s="149"/>
      <c r="AO161" s="149"/>
      <c r="AP161" s="149"/>
      <c r="AQ161" s="149"/>
      <c r="AR161" s="149"/>
      <c r="AS161" s="1008"/>
      <c r="AU161" s="1011">
        <f t="shared" si="103"/>
        <v>1</v>
      </c>
      <c r="AV161" s="1008">
        <f t="shared" ref="AV161:AV192" si="174">SUM(AW161:BP161)</f>
        <v>239816980</v>
      </c>
      <c r="AW161" s="1008"/>
      <c r="AX161" s="1008"/>
      <c r="AY161" s="1008"/>
      <c r="AZ161" s="1008">
        <f>+'[14]JUNIO 2015'!$M$235</f>
        <v>239816980</v>
      </c>
      <c r="BA161" s="1008"/>
      <c r="BB161" s="1008"/>
      <c r="BC161" s="1008"/>
      <c r="BD161" s="1008"/>
      <c r="BE161" s="1008"/>
      <c r="BF161" s="1008"/>
      <c r="BG161" s="1008"/>
      <c r="BH161" s="1008"/>
      <c r="BI161" s="1008"/>
      <c r="BJ161" s="1008"/>
      <c r="BK161" s="1008"/>
      <c r="BL161" s="1008"/>
      <c r="BM161" s="1008"/>
      <c r="BN161" s="1008"/>
      <c r="BO161" s="1008"/>
      <c r="BP161" s="1008"/>
      <c r="BQ161" s="1011">
        <f t="shared" si="105"/>
        <v>0</v>
      </c>
      <c r="BR161" s="1008">
        <f t="shared" ref="BR161:BR193" si="175">SUM(BS161:CL161)</f>
        <v>0</v>
      </c>
      <c r="BS161" s="1008">
        <f t="shared" si="164"/>
        <v>0</v>
      </c>
      <c r="BT161" s="1008">
        <f t="shared" si="165"/>
        <v>0</v>
      </c>
      <c r="BU161" s="1008"/>
      <c r="BV161" s="1008">
        <f t="shared" si="162"/>
        <v>0</v>
      </c>
      <c r="BW161" s="1008">
        <f t="shared" si="162"/>
        <v>0</v>
      </c>
      <c r="BX161" s="1008">
        <f t="shared" si="166"/>
        <v>0</v>
      </c>
      <c r="BY161" s="1008">
        <f t="shared" si="166"/>
        <v>0</v>
      </c>
      <c r="BZ161" s="1008"/>
      <c r="CA161" s="1008">
        <f t="shared" si="167"/>
        <v>0</v>
      </c>
      <c r="CB161" s="1008">
        <f t="shared" si="167"/>
        <v>0</v>
      </c>
      <c r="CC161" s="1008">
        <f t="shared" si="167"/>
        <v>0</v>
      </c>
      <c r="CD161" s="1008">
        <f t="shared" si="167"/>
        <v>0</v>
      </c>
      <c r="CE161" s="1008">
        <f t="shared" si="167"/>
        <v>0</v>
      </c>
      <c r="CF161" s="1008">
        <f t="shared" si="167"/>
        <v>0</v>
      </c>
      <c r="CG161" s="1008">
        <f t="shared" si="167"/>
        <v>0</v>
      </c>
      <c r="CH161" s="1008">
        <f t="shared" si="167"/>
        <v>0</v>
      </c>
      <c r="CI161" s="1008">
        <f t="shared" si="167"/>
        <v>0</v>
      </c>
      <c r="CJ161" s="1008"/>
      <c r="CK161" s="1008">
        <f t="shared" si="168"/>
        <v>0</v>
      </c>
      <c r="CL161" s="1008">
        <f t="shared" si="168"/>
        <v>0</v>
      </c>
      <c r="CM161" s="1011">
        <f t="shared" si="113"/>
        <v>1</v>
      </c>
      <c r="CN161" s="1008">
        <f t="shared" ref="CN161:CN193" si="176">SUM(CO161:DH161)</f>
        <v>239816980</v>
      </c>
      <c r="CO161" s="1008"/>
      <c r="CP161" s="1008"/>
      <c r="CQ161" s="1008"/>
      <c r="CR161" s="1008">
        <f>+'[11]ABRIL 2015'!$H$216</f>
        <v>239816980</v>
      </c>
      <c r="CS161" s="1008"/>
      <c r="CT161" s="1008"/>
      <c r="CU161" s="1008"/>
      <c r="CV161" s="1008"/>
      <c r="CW161" s="1008"/>
      <c r="CX161" s="1008"/>
      <c r="CY161" s="1008"/>
      <c r="CZ161" s="1008"/>
      <c r="DA161" s="1008"/>
      <c r="DB161" s="1008"/>
      <c r="DC161" s="1008"/>
      <c r="DD161" s="1008"/>
      <c r="DE161" s="1008"/>
      <c r="DF161" s="1008"/>
      <c r="DG161" s="1008"/>
      <c r="DH161" s="1008"/>
      <c r="DI161" s="1011">
        <f t="shared" si="115"/>
        <v>0</v>
      </c>
      <c r="DJ161" s="1008">
        <f t="shared" ref="DJ161:DJ193" si="177">SUM(DK161:ED161)</f>
        <v>0</v>
      </c>
      <c r="DK161" s="1008"/>
      <c r="DL161" s="1008"/>
      <c r="DM161" s="1008"/>
      <c r="DN161" s="1008">
        <f t="shared" si="163"/>
        <v>0</v>
      </c>
      <c r="DO161" s="1008">
        <f t="shared" si="163"/>
        <v>0</v>
      </c>
      <c r="DP161" s="1008">
        <f t="shared" si="163"/>
        <v>0</v>
      </c>
      <c r="DQ161" s="1008">
        <f t="shared" si="163"/>
        <v>0</v>
      </c>
      <c r="DR161" s="1008"/>
      <c r="DS161" s="1008">
        <f t="shared" si="169"/>
        <v>0</v>
      </c>
      <c r="DT161" s="1008">
        <f t="shared" si="169"/>
        <v>0</v>
      </c>
      <c r="DU161" s="1008"/>
      <c r="DV161" s="1008">
        <f t="shared" si="170"/>
        <v>0</v>
      </c>
      <c r="DW161" s="1008">
        <f t="shared" si="170"/>
        <v>0</v>
      </c>
      <c r="DX161" s="1008">
        <f t="shared" si="170"/>
        <v>0</v>
      </c>
      <c r="DY161" s="1008">
        <f t="shared" si="171"/>
        <v>0</v>
      </c>
      <c r="DZ161" s="1008">
        <f t="shared" si="171"/>
        <v>0</v>
      </c>
      <c r="EA161" s="1008">
        <f t="shared" si="171"/>
        <v>0</v>
      </c>
      <c r="EB161" s="1008">
        <f t="shared" si="171"/>
        <v>0</v>
      </c>
      <c r="EC161" s="1008">
        <f t="shared" si="171"/>
        <v>0</v>
      </c>
      <c r="ED161" s="1008">
        <f t="shared" si="172"/>
        <v>0</v>
      </c>
    </row>
    <row r="162" spans="1:134" s="203" customFormat="1" ht="33.75" hidden="1" customHeight="1" x14ac:dyDescent="0.25">
      <c r="A162" s="1560"/>
      <c r="B162" s="989"/>
      <c r="C162" s="1631" t="s">
        <v>4524</v>
      </c>
      <c r="D162" s="1019" t="s">
        <v>4508</v>
      </c>
      <c r="E162" s="989">
        <v>211</v>
      </c>
      <c r="F162" s="1120" t="s">
        <v>4482</v>
      </c>
      <c r="G162" s="1400"/>
      <c r="H162" s="1061">
        <f t="shared" si="143"/>
        <v>0</v>
      </c>
      <c r="I162" s="1061">
        <f t="shared" si="144"/>
        <v>0</v>
      </c>
      <c r="J162" s="1401"/>
      <c r="K162" s="1284"/>
      <c r="L162" s="1284"/>
      <c r="M162" s="1077">
        <v>0</v>
      </c>
      <c r="N162" s="1077">
        <v>0</v>
      </c>
      <c r="O162" s="1077">
        <v>0</v>
      </c>
      <c r="P162" s="1075"/>
      <c r="Q162" s="1075"/>
      <c r="R162" s="1075"/>
      <c r="S162" s="1120"/>
      <c r="T162" s="1120"/>
      <c r="U162" s="1120"/>
      <c r="V162" s="1120"/>
      <c r="W162" s="1120"/>
      <c r="X162" s="1120"/>
      <c r="Y162" s="1067">
        <f t="shared" si="173"/>
        <v>0</v>
      </c>
      <c r="Z162" s="149"/>
      <c r="AA162" s="1067">
        <f>353000000-353000000</f>
        <v>0</v>
      </c>
      <c r="AB162" s="1067"/>
      <c r="AC162" s="1067">
        <f>99815599-99815599</f>
        <v>0</v>
      </c>
      <c r="AD162" s="1067"/>
      <c r="AE162" s="1067"/>
      <c r="AF162" s="1067">
        <f>500000000-37000000-110000000-353000000</f>
        <v>0</v>
      </c>
      <c r="AG162" s="149"/>
      <c r="AH162" s="149"/>
      <c r="AI162" s="149"/>
      <c r="AJ162" s="149"/>
      <c r="AK162" s="149"/>
      <c r="AL162" s="149"/>
      <c r="AM162" s="149"/>
      <c r="AN162" s="149"/>
      <c r="AO162" s="149"/>
      <c r="AP162" s="149"/>
      <c r="AQ162" s="149"/>
      <c r="AR162" s="149"/>
      <c r="AS162" s="1067"/>
      <c r="AU162" s="1082">
        <v>0</v>
      </c>
      <c r="AV162" s="1067">
        <f t="shared" si="174"/>
        <v>0</v>
      </c>
      <c r="AW162" s="1067"/>
      <c r="AX162" s="1067"/>
      <c r="AY162" s="1067"/>
      <c r="AZ162" s="1067"/>
      <c r="BA162" s="1067"/>
      <c r="BB162" s="1067"/>
      <c r="BC162" s="1067"/>
      <c r="BD162" s="1067"/>
      <c r="BE162" s="1067"/>
      <c r="BF162" s="1067"/>
      <c r="BG162" s="1067"/>
      <c r="BH162" s="1067"/>
      <c r="BI162" s="1067"/>
      <c r="BJ162" s="1067"/>
      <c r="BK162" s="1067"/>
      <c r="BL162" s="1067"/>
      <c r="BM162" s="1067"/>
      <c r="BN162" s="1067"/>
      <c r="BO162" s="1067"/>
      <c r="BP162" s="1067"/>
      <c r="BQ162" s="1082">
        <v>0</v>
      </c>
      <c r="BR162" s="1067">
        <f t="shared" si="175"/>
        <v>0</v>
      </c>
      <c r="BS162" s="1067">
        <f t="shared" si="164"/>
        <v>0</v>
      </c>
      <c r="BT162" s="1067">
        <f t="shared" si="165"/>
        <v>0</v>
      </c>
      <c r="BU162" s="1067"/>
      <c r="BV162" s="1067">
        <f t="shared" si="162"/>
        <v>0</v>
      </c>
      <c r="BW162" s="1067">
        <f t="shared" si="162"/>
        <v>0</v>
      </c>
      <c r="BX162" s="1067">
        <f t="shared" si="166"/>
        <v>0</v>
      </c>
      <c r="BY162" s="1067">
        <f t="shared" si="166"/>
        <v>0</v>
      </c>
      <c r="BZ162" s="1067"/>
      <c r="CA162" s="1067">
        <f t="shared" si="167"/>
        <v>0</v>
      </c>
      <c r="CB162" s="1067">
        <f t="shared" si="167"/>
        <v>0</v>
      </c>
      <c r="CC162" s="1067">
        <f t="shared" si="167"/>
        <v>0</v>
      </c>
      <c r="CD162" s="1067">
        <f t="shared" si="167"/>
        <v>0</v>
      </c>
      <c r="CE162" s="1067">
        <f t="shared" si="167"/>
        <v>0</v>
      </c>
      <c r="CF162" s="1067">
        <f t="shared" si="167"/>
        <v>0</v>
      </c>
      <c r="CG162" s="1067">
        <f t="shared" si="167"/>
        <v>0</v>
      </c>
      <c r="CH162" s="1067">
        <f t="shared" si="167"/>
        <v>0</v>
      </c>
      <c r="CI162" s="1067">
        <f t="shared" si="167"/>
        <v>0</v>
      </c>
      <c r="CJ162" s="1067">
        <f>+AQ162-BN162</f>
        <v>0</v>
      </c>
      <c r="CK162" s="1067">
        <f t="shared" si="168"/>
        <v>0</v>
      </c>
      <c r="CL162" s="1067">
        <f t="shared" si="168"/>
        <v>0</v>
      </c>
      <c r="CM162" s="1082">
        <v>0</v>
      </c>
      <c r="CN162" s="1067">
        <f t="shared" si="176"/>
        <v>0</v>
      </c>
      <c r="CO162" s="1067"/>
      <c r="CP162" s="1067"/>
      <c r="CQ162" s="1067"/>
      <c r="CR162" s="1067"/>
      <c r="CS162" s="1067"/>
      <c r="CT162" s="1067"/>
      <c r="CU162" s="1067"/>
      <c r="CV162" s="1067"/>
      <c r="CW162" s="1067"/>
      <c r="CX162" s="1067"/>
      <c r="CY162" s="1067"/>
      <c r="CZ162" s="1067"/>
      <c r="DA162" s="1067"/>
      <c r="DB162" s="1067"/>
      <c r="DC162" s="1067"/>
      <c r="DD162" s="1067"/>
      <c r="DE162" s="1067"/>
      <c r="DF162" s="1067"/>
      <c r="DG162" s="1067"/>
      <c r="DH162" s="1067"/>
      <c r="DI162" s="1082">
        <v>0</v>
      </c>
      <c r="DJ162" s="1067">
        <f t="shared" si="177"/>
        <v>0</v>
      </c>
      <c r="DK162" s="1067"/>
      <c r="DL162" s="1067">
        <f>AA162-CP162</f>
        <v>0</v>
      </c>
      <c r="DM162" s="1067">
        <f>AB162-CQ162</f>
        <v>0</v>
      </c>
      <c r="DN162" s="1067">
        <f t="shared" si="163"/>
        <v>0</v>
      </c>
      <c r="DO162" s="1067">
        <f t="shared" si="163"/>
        <v>0</v>
      </c>
      <c r="DP162" s="1067">
        <f t="shared" si="163"/>
        <v>0</v>
      </c>
      <c r="DQ162" s="1067">
        <f t="shared" si="163"/>
        <v>0</v>
      </c>
      <c r="DR162" s="1067"/>
      <c r="DS162" s="1067">
        <f t="shared" si="169"/>
        <v>0</v>
      </c>
      <c r="DT162" s="1067">
        <f t="shared" si="169"/>
        <v>0</v>
      </c>
      <c r="DU162" s="1067"/>
      <c r="DV162" s="1067">
        <f t="shared" si="170"/>
        <v>0</v>
      </c>
      <c r="DW162" s="1067">
        <f t="shared" si="170"/>
        <v>0</v>
      </c>
      <c r="DX162" s="1067">
        <f t="shared" si="170"/>
        <v>0</v>
      </c>
      <c r="DY162" s="1067">
        <f t="shared" si="171"/>
        <v>0</v>
      </c>
      <c r="DZ162" s="1067">
        <f t="shared" si="171"/>
        <v>0</v>
      </c>
      <c r="EA162" s="1067">
        <f t="shared" si="171"/>
        <v>0</v>
      </c>
      <c r="EB162" s="1067">
        <f t="shared" si="171"/>
        <v>0</v>
      </c>
      <c r="EC162" s="1067">
        <f t="shared" si="171"/>
        <v>0</v>
      </c>
      <c r="ED162" s="1067">
        <f t="shared" si="172"/>
        <v>0</v>
      </c>
    </row>
    <row r="163" spans="1:134" ht="42.75" hidden="1" customHeight="1" x14ac:dyDescent="0.25">
      <c r="A163" s="1560"/>
      <c r="B163" s="989"/>
      <c r="C163" s="1635" t="s">
        <v>4525</v>
      </c>
      <c r="D163" s="1019" t="s">
        <v>4673</v>
      </c>
      <c r="E163" s="994">
        <v>211</v>
      </c>
      <c r="F163" s="1120" t="s">
        <v>4819</v>
      </c>
      <c r="G163" s="1400"/>
      <c r="H163" s="1061">
        <f t="shared" si="143"/>
        <v>63401130</v>
      </c>
      <c r="I163" s="1061">
        <f t="shared" si="144"/>
        <v>397373984</v>
      </c>
      <c r="J163" s="1575">
        <v>58</v>
      </c>
      <c r="K163" s="1578">
        <v>98</v>
      </c>
      <c r="L163" s="1283">
        <v>63</v>
      </c>
      <c r="M163" s="1119">
        <v>0</v>
      </c>
      <c r="N163" s="1119">
        <v>0</v>
      </c>
      <c r="O163" s="1119">
        <v>0</v>
      </c>
      <c r="P163" s="1115">
        <v>16</v>
      </c>
      <c r="Q163" s="1115">
        <v>0</v>
      </c>
      <c r="R163" s="1115">
        <v>0</v>
      </c>
      <c r="S163" s="1120"/>
      <c r="T163" s="1120"/>
      <c r="U163" s="1120"/>
      <c r="V163" s="1120"/>
      <c r="W163" s="1120"/>
      <c r="X163" s="1120"/>
      <c r="Y163" s="1008">
        <f t="shared" si="173"/>
        <v>460775114</v>
      </c>
      <c r="Z163" s="944"/>
      <c r="AA163" s="1008"/>
      <c r="AB163" s="1008"/>
      <c r="AC163" s="1008">
        <v>420000000</v>
      </c>
      <c r="AD163" s="1008"/>
      <c r="AE163" s="1008"/>
      <c r="AF163" s="1008"/>
      <c r="AG163" s="944"/>
      <c r="AH163" s="944"/>
      <c r="AI163" s="149"/>
      <c r="AJ163" s="149"/>
      <c r="AK163" s="149"/>
      <c r="AL163" s="149"/>
      <c r="AM163" s="149"/>
      <c r="AN163" s="944"/>
      <c r="AO163" s="944"/>
      <c r="AP163" s="944"/>
      <c r="AQ163" s="944"/>
      <c r="AR163" s="944"/>
      <c r="AS163" s="1008">
        <f>37000000+3775114</f>
        <v>40775114</v>
      </c>
      <c r="AU163" s="1011">
        <f t="shared" si="103"/>
        <v>0.78585471523533712</v>
      </c>
      <c r="AV163" s="1008">
        <f t="shared" si="174"/>
        <v>362102296</v>
      </c>
      <c r="AW163" s="1008"/>
      <c r="AX163" s="1008"/>
      <c r="AY163" s="1008"/>
      <c r="AZ163" s="1008">
        <f>+'[17]SEPTIEMBRE 2015'!$M$291</f>
        <v>325102296</v>
      </c>
      <c r="BA163" s="1008"/>
      <c r="BB163" s="1008"/>
      <c r="BC163" s="1008"/>
      <c r="BD163" s="1008"/>
      <c r="BE163" s="1008"/>
      <c r="BF163" s="1008"/>
      <c r="BG163" s="1008"/>
      <c r="BH163" s="1008"/>
      <c r="BI163" s="1008"/>
      <c r="BJ163" s="1008"/>
      <c r="BK163" s="1008"/>
      <c r="BL163" s="1008"/>
      <c r="BM163" s="1008"/>
      <c r="BN163" s="1008"/>
      <c r="BO163" s="1008"/>
      <c r="BP163" s="1008">
        <f>+'[9]FEBRERO 2015'!$G$196</f>
        <v>37000000</v>
      </c>
      <c r="BQ163" s="1011">
        <f t="shared" si="105"/>
        <v>0.21414528476466288</v>
      </c>
      <c r="BR163" s="1008">
        <f t="shared" si="175"/>
        <v>98672818</v>
      </c>
      <c r="BS163" s="1008">
        <f t="shared" si="164"/>
        <v>0</v>
      </c>
      <c r="BT163" s="1008">
        <f t="shared" si="165"/>
        <v>0</v>
      </c>
      <c r="BU163" s="1008"/>
      <c r="BV163" s="1008">
        <f t="shared" si="162"/>
        <v>94897704</v>
      </c>
      <c r="BW163" s="1008">
        <f t="shared" si="162"/>
        <v>0</v>
      </c>
      <c r="BX163" s="1008">
        <f t="shared" si="166"/>
        <v>0</v>
      </c>
      <c r="BY163" s="1008">
        <f t="shared" si="166"/>
        <v>0</v>
      </c>
      <c r="BZ163" s="1008"/>
      <c r="CA163" s="1008">
        <f t="shared" si="167"/>
        <v>0</v>
      </c>
      <c r="CB163" s="1008">
        <f t="shared" si="167"/>
        <v>0</v>
      </c>
      <c r="CC163" s="1008">
        <f t="shared" si="167"/>
        <v>0</v>
      </c>
      <c r="CD163" s="1008">
        <f t="shared" si="167"/>
        <v>0</v>
      </c>
      <c r="CE163" s="1008">
        <f t="shared" si="167"/>
        <v>0</v>
      </c>
      <c r="CF163" s="1008">
        <f t="shared" si="167"/>
        <v>0</v>
      </c>
      <c r="CG163" s="1008">
        <f t="shared" si="167"/>
        <v>0</v>
      </c>
      <c r="CH163" s="1008">
        <f t="shared" si="167"/>
        <v>0</v>
      </c>
      <c r="CI163" s="1008">
        <f t="shared" si="167"/>
        <v>0</v>
      </c>
      <c r="CJ163" s="1008"/>
      <c r="CK163" s="1008">
        <f t="shared" si="168"/>
        <v>0</v>
      </c>
      <c r="CL163" s="1008">
        <f t="shared" si="168"/>
        <v>3775114</v>
      </c>
      <c r="CM163" s="1011">
        <f t="shared" si="113"/>
        <v>0.13759668886978996</v>
      </c>
      <c r="CN163" s="1008">
        <f t="shared" si="176"/>
        <v>63401130</v>
      </c>
      <c r="CO163" s="1008"/>
      <c r="CP163" s="1008"/>
      <c r="CQ163" s="1008"/>
      <c r="CR163" s="1008">
        <f>+'[18]OCTUBRE 2015'!$H$310</f>
        <v>26401136</v>
      </c>
      <c r="CS163" s="1008"/>
      <c r="CT163" s="1008"/>
      <c r="CU163" s="1008"/>
      <c r="CV163" s="1008"/>
      <c r="CW163" s="1008"/>
      <c r="CX163" s="1008"/>
      <c r="CY163" s="1008"/>
      <c r="CZ163" s="1008"/>
      <c r="DA163" s="1008"/>
      <c r="DB163" s="1008"/>
      <c r="DC163" s="1008"/>
      <c r="DD163" s="1008"/>
      <c r="DE163" s="1008"/>
      <c r="DF163" s="1008"/>
      <c r="DG163" s="1008"/>
      <c r="DH163" s="1008">
        <f>+'[17]SEPTIEMBRE 2015'!$H$292</f>
        <v>36999994</v>
      </c>
      <c r="DI163" s="1011">
        <f t="shared" si="115"/>
        <v>0.86240331113021007</v>
      </c>
      <c r="DJ163" s="1008">
        <f t="shared" si="177"/>
        <v>397373984</v>
      </c>
      <c r="DK163" s="1008"/>
      <c r="DL163" s="1008"/>
      <c r="DM163" s="1008"/>
      <c r="DN163" s="1008">
        <f t="shared" si="163"/>
        <v>393598864</v>
      </c>
      <c r="DO163" s="1008">
        <f t="shared" si="163"/>
        <v>0</v>
      </c>
      <c r="DP163" s="1008">
        <f t="shared" si="163"/>
        <v>0</v>
      </c>
      <c r="DQ163" s="1008">
        <f t="shared" si="163"/>
        <v>0</v>
      </c>
      <c r="DR163" s="1008"/>
      <c r="DS163" s="1008">
        <f t="shared" si="169"/>
        <v>0</v>
      </c>
      <c r="DT163" s="1008">
        <f t="shared" si="169"/>
        <v>0</v>
      </c>
      <c r="DU163" s="1008"/>
      <c r="DV163" s="1008">
        <f t="shared" si="170"/>
        <v>0</v>
      </c>
      <c r="DW163" s="1008">
        <f t="shared" si="170"/>
        <v>0</v>
      </c>
      <c r="DX163" s="1008">
        <f t="shared" si="170"/>
        <v>0</v>
      </c>
      <c r="DY163" s="1008">
        <f t="shared" si="171"/>
        <v>0</v>
      </c>
      <c r="DZ163" s="1008">
        <f t="shared" si="171"/>
        <v>0</v>
      </c>
      <c r="EA163" s="1008">
        <f t="shared" si="171"/>
        <v>0</v>
      </c>
      <c r="EB163" s="1008">
        <f t="shared" si="171"/>
        <v>0</v>
      </c>
      <c r="EC163" s="1008">
        <f t="shared" si="171"/>
        <v>0</v>
      </c>
      <c r="ED163" s="1008">
        <f t="shared" si="172"/>
        <v>3775120</v>
      </c>
    </row>
    <row r="164" spans="1:134" ht="81" hidden="1" customHeight="1" x14ac:dyDescent="0.25">
      <c r="A164" s="1560"/>
      <c r="B164" s="989"/>
      <c r="C164" s="1635" t="s">
        <v>4526</v>
      </c>
      <c r="D164" s="1019" t="s">
        <v>4641</v>
      </c>
      <c r="E164" s="994">
        <v>211</v>
      </c>
      <c r="F164" s="1120" t="s">
        <v>4672</v>
      </c>
      <c r="G164" s="1400"/>
      <c r="H164" s="1061">
        <f t="shared" si="143"/>
        <v>40753510</v>
      </c>
      <c r="I164" s="1061">
        <f t="shared" si="144"/>
        <v>36453427</v>
      </c>
      <c r="J164" s="1576"/>
      <c r="K164" s="1579"/>
      <c r="L164" s="1573"/>
      <c r="M164" s="1119">
        <v>0</v>
      </c>
      <c r="N164" s="1119">
        <v>0</v>
      </c>
      <c r="O164" s="1119">
        <v>0</v>
      </c>
      <c r="P164" s="1115">
        <v>29</v>
      </c>
      <c r="Q164" s="1115">
        <v>0</v>
      </c>
      <c r="R164" s="1115">
        <v>0</v>
      </c>
      <c r="S164" s="1120"/>
      <c r="T164" s="1120"/>
      <c r="U164" s="1120"/>
      <c r="V164" s="1120"/>
      <c r="W164" s="1120"/>
      <c r="X164" s="1120"/>
      <c r="Y164" s="1008">
        <f t="shared" si="173"/>
        <v>77206937</v>
      </c>
      <c r="Z164" s="944"/>
      <c r="AA164" s="1008"/>
      <c r="AB164" s="1008"/>
      <c r="AC164" s="1008"/>
      <c r="AD164" s="1008"/>
      <c r="AE164" s="1008"/>
      <c r="AF164" s="1008"/>
      <c r="AG164" s="944"/>
      <c r="AH164" s="944"/>
      <c r="AI164" s="149"/>
      <c r="AJ164" s="149"/>
      <c r="AK164" s="149"/>
      <c r="AL164" s="149"/>
      <c r="AM164" s="149"/>
      <c r="AN164" s="944"/>
      <c r="AO164" s="944"/>
      <c r="AP164" s="944"/>
      <c r="AQ164" s="944"/>
      <c r="AR164" s="944"/>
      <c r="AS164" s="1008">
        <f>6158702+2689112+21598701+428146+6000101+7556188+25983466+3000000+3792521</f>
        <v>77206937</v>
      </c>
      <c r="AU164" s="1011">
        <f t="shared" si="103"/>
        <v>0.88700854691334274</v>
      </c>
      <c r="AV164" s="1008">
        <f t="shared" si="174"/>
        <v>68483213</v>
      </c>
      <c r="AW164" s="1008"/>
      <c r="AX164" s="1008"/>
      <c r="AY164" s="1008"/>
      <c r="AZ164" s="1008"/>
      <c r="BA164" s="1008"/>
      <c r="BB164" s="1008"/>
      <c r="BC164" s="1008"/>
      <c r="BD164" s="1008"/>
      <c r="BE164" s="1008"/>
      <c r="BF164" s="1008"/>
      <c r="BG164" s="1008"/>
      <c r="BH164" s="1008"/>
      <c r="BI164" s="1008"/>
      <c r="BJ164" s="1008"/>
      <c r="BK164" s="1008"/>
      <c r="BL164" s="1008"/>
      <c r="BM164" s="1008"/>
      <c r="BN164" s="1008"/>
      <c r="BO164" s="1008"/>
      <c r="BP164" s="1008">
        <f>+'[18]OCTUBRE 2015'!$AD$317</f>
        <v>68483213</v>
      </c>
      <c r="BQ164" s="1011">
        <f t="shared" si="105"/>
        <v>0.11299145308665726</v>
      </c>
      <c r="BR164" s="1008">
        <f t="shared" si="175"/>
        <v>8723724</v>
      </c>
      <c r="BS164" s="1008">
        <f t="shared" si="164"/>
        <v>0</v>
      </c>
      <c r="BT164" s="1008">
        <f t="shared" si="165"/>
        <v>0</v>
      </c>
      <c r="BU164" s="1008"/>
      <c r="BV164" s="1008">
        <f t="shared" si="162"/>
        <v>0</v>
      </c>
      <c r="BW164" s="1008">
        <f t="shared" si="162"/>
        <v>0</v>
      </c>
      <c r="BX164" s="1008">
        <f t="shared" si="166"/>
        <v>0</v>
      </c>
      <c r="BY164" s="1008">
        <f t="shared" si="166"/>
        <v>0</v>
      </c>
      <c r="BZ164" s="1008"/>
      <c r="CA164" s="1008">
        <f t="shared" si="167"/>
        <v>0</v>
      </c>
      <c r="CB164" s="1008">
        <f t="shared" si="167"/>
        <v>0</v>
      </c>
      <c r="CC164" s="1008">
        <f t="shared" si="167"/>
        <v>0</v>
      </c>
      <c r="CD164" s="1008">
        <f t="shared" si="167"/>
        <v>0</v>
      </c>
      <c r="CE164" s="1008">
        <f t="shared" si="167"/>
        <v>0</v>
      </c>
      <c r="CF164" s="1008">
        <f t="shared" si="167"/>
        <v>0</v>
      </c>
      <c r="CG164" s="1008">
        <f t="shared" si="167"/>
        <v>0</v>
      </c>
      <c r="CH164" s="1008">
        <f t="shared" si="167"/>
        <v>0</v>
      </c>
      <c r="CI164" s="1008">
        <f t="shared" si="167"/>
        <v>0</v>
      </c>
      <c r="CJ164" s="1008"/>
      <c r="CK164" s="1008">
        <f t="shared" si="168"/>
        <v>0</v>
      </c>
      <c r="CL164" s="1008">
        <f t="shared" si="168"/>
        <v>8723724</v>
      </c>
      <c r="CM164" s="1011">
        <f t="shared" si="113"/>
        <v>0.52784777616550183</v>
      </c>
      <c r="CN164" s="1008">
        <f t="shared" si="176"/>
        <v>40753510</v>
      </c>
      <c r="CO164" s="1008"/>
      <c r="CP164" s="1008"/>
      <c r="CQ164" s="1008"/>
      <c r="CR164" s="1008"/>
      <c r="CS164" s="1008"/>
      <c r="CT164" s="1008"/>
      <c r="CU164" s="1008"/>
      <c r="CV164" s="1008"/>
      <c r="CW164" s="1008"/>
      <c r="CX164" s="1008"/>
      <c r="CY164" s="1008"/>
      <c r="CZ164" s="1008"/>
      <c r="DA164" s="1008"/>
      <c r="DB164" s="1008"/>
      <c r="DC164" s="1008"/>
      <c r="DD164" s="1008"/>
      <c r="DE164" s="1008"/>
      <c r="DF164" s="1008"/>
      <c r="DG164" s="1008"/>
      <c r="DH164" s="1008">
        <f>+'[18]OCTUBRE 2015'!$H$315</f>
        <v>40753510</v>
      </c>
      <c r="DI164" s="1011">
        <f t="shared" si="115"/>
        <v>0.47215222383449817</v>
      </c>
      <c r="DJ164" s="1008">
        <f t="shared" si="177"/>
        <v>36453427</v>
      </c>
      <c r="DK164" s="1008"/>
      <c r="DL164" s="1008"/>
      <c r="DM164" s="1008"/>
      <c r="DN164" s="1008">
        <f t="shared" si="163"/>
        <v>0</v>
      </c>
      <c r="DO164" s="1008">
        <f t="shared" si="163"/>
        <v>0</v>
      </c>
      <c r="DP164" s="1008">
        <f t="shared" si="163"/>
        <v>0</v>
      </c>
      <c r="DQ164" s="1008">
        <f t="shared" si="163"/>
        <v>0</v>
      </c>
      <c r="DR164" s="1008"/>
      <c r="DS164" s="1008">
        <f t="shared" si="169"/>
        <v>0</v>
      </c>
      <c r="DT164" s="1008">
        <f t="shared" si="169"/>
        <v>0</v>
      </c>
      <c r="DU164" s="1008"/>
      <c r="DV164" s="1008">
        <f t="shared" si="170"/>
        <v>0</v>
      </c>
      <c r="DW164" s="1008">
        <f t="shared" si="170"/>
        <v>0</v>
      </c>
      <c r="DX164" s="1008">
        <f t="shared" si="170"/>
        <v>0</v>
      </c>
      <c r="DY164" s="1008">
        <f t="shared" si="171"/>
        <v>0</v>
      </c>
      <c r="DZ164" s="1008">
        <f t="shared" si="171"/>
        <v>0</v>
      </c>
      <c r="EA164" s="1008">
        <f t="shared" si="171"/>
        <v>0</v>
      </c>
      <c r="EB164" s="1008">
        <f t="shared" si="171"/>
        <v>0</v>
      </c>
      <c r="EC164" s="1008">
        <f t="shared" si="171"/>
        <v>0</v>
      </c>
      <c r="ED164" s="1008">
        <f t="shared" si="172"/>
        <v>36453427</v>
      </c>
    </row>
    <row r="165" spans="1:134" s="203" customFormat="1" ht="27.75" hidden="1" customHeight="1" x14ac:dyDescent="0.25">
      <c r="A165" s="1560"/>
      <c r="B165" s="989"/>
      <c r="C165" s="1631" t="s">
        <v>4527</v>
      </c>
      <c r="D165" s="1019" t="s">
        <v>4509</v>
      </c>
      <c r="E165" s="989">
        <v>211</v>
      </c>
      <c r="F165" s="1120" t="s">
        <v>4482</v>
      </c>
      <c r="G165" s="1400"/>
      <c r="H165" s="1061">
        <f t="shared" si="143"/>
        <v>0</v>
      </c>
      <c r="I165" s="1061">
        <f t="shared" si="144"/>
        <v>0</v>
      </c>
      <c r="J165" s="1577"/>
      <c r="K165" s="1580"/>
      <c r="L165" s="1284"/>
      <c r="M165" s="1077">
        <v>0</v>
      </c>
      <c r="N165" s="1077">
        <v>0</v>
      </c>
      <c r="O165" s="1077">
        <v>0</v>
      </c>
      <c r="P165" s="1075"/>
      <c r="Q165" s="1075"/>
      <c r="R165" s="1075"/>
      <c r="S165" s="1120"/>
      <c r="T165" s="1120"/>
      <c r="U165" s="1120"/>
      <c r="V165" s="1120"/>
      <c r="W165" s="1120"/>
      <c r="X165" s="1120"/>
      <c r="Y165" s="1067">
        <f t="shared" si="173"/>
        <v>0</v>
      </c>
      <c r="Z165" s="149"/>
      <c r="AA165" s="1067">
        <f>270014856-270014856</f>
        <v>0</v>
      </c>
      <c r="AB165" s="1067"/>
      <c r="AC165" s="1067">
        <f>65677916-65677916</f>
        <v>0</v>
      </c>
      <c r="AD165" s="1067"/>
      <c r="AE165" s="1067"/>
      <c r="AF165" s="1067">
        <f>335692772-270014856-65677916</f>
        <v>0</v>
      </c>
      <c r="AG165" s="149"/>
      <c r="AH165" s="149"/>
      <c r="AI165" s="149"/>
      <c r="AJ165" s="149"/>
      <c r="AK165" s="149"/>
      <c r="AL165" s="149"/>
      <c r="AM165" s="149"/>
      <c r="AN165" s="149"/>
      <c r="AO165" s="149"/>
      <c r="AP165" s="149"/>
      <c r="AQ165" s="149"/>
      <c r="AR165" s="149"/>
      <c r="AS165" s="149"/>
      <c r="AU165" s="1011">
        <v>0</v>
      </c>
      <c r="AV165" s="1067">
        <f t="shared" si="174"/>
        <v>0</v>
      </c>
      <c r="AW165" s="1067"/>
      <c r="AX165" s="1067"/>
      <c r="AY165" s="1067"/>
      <c r="AZ165" s="1067"/>
      <c r="BA165" s="1067"/>
      <c r="BB165" s="1067"/>
      <c r="BC165" s="1067"/>
      <c r="BD165" s="1067"/>
      <c r="BE165" s="1067"/>
      <c r="BF165" s="1067"/>
      <c r="BG165" s="1067"/>
      <c r="BH165" s="1067"/>
      <c r="BI165" s="1067"/>
      <c r="BJ165" s="1067"/>
      <c r="BK165" s="1067"/>
      <c r="BL165" s="1067"/>
      <c r="BM165" s="1067"/>
      <c r="BN165" s="1067"/>
      <c r="BO165" s="1067"/>
      <c r="BP165" s="1067"/>
      <c r="BQ165" s="1082">
        <f t="shared" ref="BQ165" si="178">SUM(BR165:CK165)</f>
        <v>0</v>
      </c>
      <c r="BR165" s="1067">
        <f t="shared" si="175"/>
        <v>0</v>
      </c>
      <c r="BS165" s="1067">
        <f t="shared" si="164"/>
        <v>0</v>
      </c>
      <c r="BT165" s="1067">
        <f t="shared" si="165"/>
        <v>0</v>
      </c>
      <c r="BU165" s="1067"/>
      <c r="BV165" s="1067">
        <f t="shared" si="162"/>
        <v>0</v>
      </c>
      <c r="BW165" s="1067">
        <f t="shared" si="162"/>
        <v>0</v>
      </c>
      <c r="BX165" s="1067">
        <f t="shared" si="166"/>
        <v>0</v>
      </c>
      <c r="BY165" s="1067">
        <f t="shared" si="166"/>
        <v>0</v>
      </c>
      <c r="BZ165" s="1067"/>
      <c r="CA165" s="1067">
        <f t="shared" si="167"/>
        <v>0</v>
      </c>
      <c r="CB165" s="1067">
        <f t="shared" si="167"/>
        <v>0</v>
      </c>
      <c r="CC165" s="1067">
        <f t="shared" si="167"/>
        <v>0</v>
      </c>
      <c r="CD165" s="1067">
        <f t="shared" si="167"/>
        <v>0</v>
      </c>
      <c r="CE165" s="1067">
        <f t="shared" si="167"/>
        <v>0</v>
      </c>
      <c r="CF165" s="1067">
        <f t="shared" si="167"/>
        <v>0</v>
      </c>
      <c r="CG165" s="1067">
        <f t="shared" si="167"/>
        <v>0</v>
      </c>
      <c r="CH165" s="1067">
        <f t="shared" si="167"/>
        <v>0</v>
      </c>
      <c r="CI165" s="1067">
        <f t="shared" si="167"/>
        <v>0</v>
      </c>
      <c r="CJ165" s="1067"/>
      <c r="CK165" s="1067">
        <f t="shared" si="168"/>
        <v>0</v>
      </c>
      <c r="CL165" s="1067">
        <f t="shared" si="168"/>
        <v>0</v>
      </c>
      <c r="CM165" s="1082">
        <v>0</v>
      </c>
      <c r="CN165" s="1008">
        <v>0</v>
      </c>
      <c r="CO165" s="1082"/>
      <c r="CP165" s="1082"/>
      <c r="CQ165" s="1082"/>
      <c r="CR165" s="1082"/>
      <c r="CS165" s="1082"/>
      <c r="CT165" s="1082"/>
      <c r="CU165" s="1082"/>
      <c r="CV165" s="1082"/>
      <c r="CW165" s="1082"/>
      <c r="CX165" s="1082"/>
      <c r="CY165" s="1082"/>
      <c r="CZ165" s="1082"/>
      <c r="DA165" s="1082"/>
      <c r="DB165" s="1082"/>
      <c r="DC165" s="1082"/>
      <c r="DD165" s="1082"/>
      <c r="DE165" s="1082"/>
      <c r="DF165" s="1082"/>
      <c r="DG165" s="1082"/>
      <c r="DH165" s="1082"/>
      <c r="DI165" s="1082">
        <f t="shared" ref="DI165" si="179">SUM(DJ165:EC165)</f>
        <v>0</v>
      </c>
      <c r="DJ165" s="1067">
        <f t="shared" si="177"/>
        <v>0</v>
      </c>
      <c r="DK165" s="1067"/>
      <c r="DL165" s="1067">
        <f>AA165-CP165</f>
        <v>0</v>
      </c>
      <c r="DM165" s="1067">
        <f>AB165-CQ165</f>
        <v>0</v>
      </c>
      <c r="DN165" s="1067">
        <f t="shared" si="163"/>
        <v>0</v>
      </c>
      <c r="DO165" s="1067">
        <f t="shared" si="163"/>
        <v>0</v>
      </c>
      <c r="DP165" s="1067">
        <f t="shared" si="163"/>
        <v>0</v>
      </c>
      <c r="DQ165" s="1067">
        <f t="shared" si="163"/>
        <v>0</v>
      </c>
      <c r="DR165" s="1067"/>
      <c r="DS165" s="1067">
        <f t="shared" si="169"/>
        <v>0</v>
      </c>
      <c r="DT165" s="1067">
        <f t="shared" si="169"/>
        <v>0</v>
      </c>
      <c r="DU165" s="1067"/>
      <c r="DV165" s="1067">
        <f t="shared" si="170"/>
        <v>0</v>
      </c>
      <c r="DW165" s="1067">
        <f t="shared" si="170"/>
        <v>0</v>
      </c>
      <c r="DX165" s="1067">
        <f t="shared" si="170"/>
        <v>0</v>
      </c>
      <c r="DY165" s="1067">
        <f t="shared" si="171"/>
        <v>0</v>
      </c>
      <c r="DZ165" s="1067">
        <f t="shared" si="171"/>
        <v>0</v>
      </c>
      <c r="EA165" s="1067">
        <f t="shared" si="171"/>
        <v>0</v>
      </c>
      <c r="EB165" s="1067">
        <f t="shared" si="171"/>
        <v>0</v>
      </c>
      <c r="EC165" s="1067">
        <f t="shared" si="171"/>
        <v>0</v>
      </c>
      <c r="ED165" s="1067">
        <f t="shared" si="172"/>
        <v>0</v>
      </c>
    </row>
    <row r="166" spans="1:134" ht="35.25" hidden="1" customHeight="1" x14ac:dyDescent="0.25">
      <c r="A166" s="1560"/>
      <c r="B166" s="989"/>
      <c r="C166" s="1635" t="s">
        <v>4528</v>
      </c>
      <c r="D166" s="1019" t="s">
        <v>4723</v>
      </c>
      <c r="E166" s="994">
        <v>211</v>
      </c>
      <c r="F166" s="1120" t="s">
        <v>4482</v>
      </c>
      <c r="G166" s="1400"/>
      <c r="H166" s="1061">
        <f t="shared" si="143"/>
        <v>167851094</v>
      </c>
      <c r="I166" s="1061">
        <f t="shared" si="144"/>
        <v>32148906</v>
      </c>
      <c r="J166" s="1575">
        <v>120</v>
      </c>
      <c r="K166" s="1578">
        <v>600</v>
      </c>
      <c r="L166" s="1283">
        <v>168</v>
      </c>
      <c r="M166" s="1119">
        <v>0</v>
      </c>
      <c r="N166" s="1119">
        <v>0</v>
      </c>
      <c r="O166" s="1119">
        <v>0</v>
      </c>
      <c r="P166" s="1115">
        <v>51</v>
      </c>
      <c r="Q166" s="1115">
        <v>35</v>
      </c>
      <c r="R166" s="1115">
        <v>18</v>
      </c>
      <c r="S166" s="1120"/>
      <c r="T166" s="1120"/>
      <c r="U166" s="1120"/>
      <c r="V166" s="1120"/>
      <c r="W166" s="1120"/>
      <c r="X166" s="1120"/>
      <c r="Y166" s="1008">
        <f t="shared" si="173"/>
        <v>200000000</v>
      </c>
      <c r="Z166" s="944"/>
      <c r="AA166" s="1008"/>
      <c r="AB166" s="1008"/>
      <c r="AC166" s="1008">
        <f>300000000-100000000</f>
        <v>200000000</v>
      </c>
      <c r="AD166" s="1008"/>
      <c r="AE166" s="1008"/>
      <c r="AF166" s="1008">
        <f>300000000-300000000</f>
        <v>0</v>
      </c>
      <c r="AG166" s="1008"/>
      <c r="AH166" s="1008"/>
      <c r="AI166" s="1008"/>
      <c r="AJ166" s="1008"/>
      <c r="AK166" s="1008"/>
      <c r="AL166" s="1008"/>
      <c r="AM166" s="1008"/>
      <c r="AN166" s="1008"/>
      <c r="AO166" s="1008"/>
      <c r="AP166" s="1008"/>
      <c r="AQ166" s="1008"/>
      <c r="AR166" s="1008"/>
      <c r="AS166" s="1008"/>
      <c r="AT166" s="1008"/>
      <c r="AU166" s="1011">
        <f t="shared" si="103"/>
        <v>0.91125051999999995</v>
      </c>
      <c r="AV166" s="1008">
        <f t="shared" si="174"/>
        <v>182250104</v>
      </c>
      <c r="AW166" s="1008"/>
      <c r="AX166" s="1008"/>
      <c r="AY166" s="1008"/>
      <c r="AZ166" s="1008">
        <f>+'[17]SEPTIEMBRE 2015'!$M$327</f>
        <v>182250104</v>
      </c>
      <c r="BA166" s="1008"/>
      <c r="BB166" s="1008"/>
      <c r="BC166" s="1008"/>
      <c r="BD166" s="1008"/>
      <c r="BE166" s="1008"/>
      <c r="BF166" s="1008"/>
      <c r="BG166" s="1008"/>
      <c r="BH166" s="1008"/>
      <c r="BI166" s="1008"/>
      <c r="BJ166" s="1008"/>
      <c r="BK166" s="1008"/>
      <c r="BL166" s="1008"/>
      <c r="BM166" s="1008"/>
      <c r="BN166" s="1008"/>
      <c r="BO166" s="1008"/>
      <c r="BP166" s="1008"/>
      <c r="BQ166" s="1011">
        <f t="shared" si="105"/>
        <v>8.8749480000000047E-2</v>
      </c>
      <c r="BR166" s="1008">
        <f t="shared" si="175"/>
        <v>17749896</v>
      </c>
      <c r="BS166" s="1008">
        <f t="shared" si="164"/>
        <v>0</v>
      </c>
      <c r="BT166" s="1008">
        <f t="shared" si="165"/>
        <v>0</v>
      </c>
      <c r="BU166" s="1008"/>
      <c r="BV166" s="1008">
        <f t="shared" si="162"/>
        <v>17749896</v>
      </c>
      <c r="BW166" s="1008">
        <f t="shared" si="162"/>
        <v>0</v>
      </c>
      <c r="BX166" s="1008">
        <f t="shared" si="166"/>
        <v>0</v>
      </c>
      <c r="BY166" s="1008">
        <f t="shared" si="166"/>
        <v>0</v>
      </c>
      <c r="BZ166" s="1008"/>
      <c r="CA166" s="1008">
        <f t="shared" si="167"/>
        <v>0</v>
      </c>
      <c r="CB166" s="1008">
        <f t="shared" si="167"/>
        <v>0</v>
      </c>
      <c r="CC166" s="1008">
        <f t="shared" si="167"/>
        <v>0</v>
      </c>
      <c r="CD166" s="1008">
        <f t="shared" si="167"/>
        <v>0</v>
      </c>
      <c r="CE166" s="1008">
        <f t="shared" si="167"/>
        <v>0</v>
      </c>
      <c r="CF166" s="1008">
        <f t="shared" si="167"/>
        <v>0</v>
      </c>
      <c r="CG166" s="1008">
        <f t="shared" si="167"/>
        <v>0</v>
      </c>
      <c r="CH166" s="1008">
        <f t="shared" si="167"/>
        <v>0</v>
      </c>
      <c r="CI166" s="1008">
        <f t="shared" si="167"/>
        <v>0</v>
      </c>
      <c r="CJ166" s="1008"/>
      <c r="CK166" s="1008">
        <f t="shared" si="168"/>
        <v>0</v>
      </c>
      <c r="CL166" s="1008">
        <f t="shared" si="168"/>
        <v>0</v>
      </c>
      <c r="CM166" s="1011">
        <f t="shared" si="113"/>
        <v>0.83925547</v>
      </c>
      <c r="CN166" s="1008">
        <f t="shared" si="176"/>
        <v>167851094</v>
      </c>
      <c r="CO166" s="1008"/>
      <c r="CP166" s="1008"/>
      <c r="CQ166" s="1008"/>
      <c r="CR166" s="1008">
        <f>+'[16]AGOSTO 2015'!$H$305</f>
        <v>167851094</v>
      </c>
      <c r="CS166" s="1008"/>
      <c r="CT166" s="1008"/>
      <c r="CU166" s="1008"/>
      <c r="CV166" s="1008"/>
      <c r="CW166" s="1008"/>
      <c r="CX166" s="1008"/>
      <c r="CY166" s="1008"/>
      <c r="CZ166" s="1008"/>
      <c r="DA166" s="1008"/>
      <c r="DB166" s="1008"/>
      <c r="DC166" s="1008"/>
      <c r="DD166" s="1008"/>
      <c r="DE166" s="1008"/>
      <c r="DF166" s="1008"/>
      <c r="DG166" s="1008"/>
      <c r="DH166" s="1008"/>
      <c r="DI166" s="1011">
        <f t="shared" si="115"/>
        <v>0.16074453</v>
      </c>
      <c r="DJ166" s="1008">
        <f t="shared" si="177"/>
        <v>32148906</v>
      </c>
      <c r="DK166" s="1008"/>
      <c r="DL166" s="1008"/>
      <c r="DM166" s="1008"/>
      <c r="DN166" s="1008">
        <f t="shared" si="163"/>
        <v>32148906</v>
      </c>
      <c r="DO166" s="1008">
        <f t="shared" si="163"/>
        <v>0</v>
      </c>
      <c r="DP166" s="1008">
        <f t="shared" si="163"/>
        <v>0</v>
      </c>
      <c r="DQ166" s="1008">
        <f t="shared" si="163"/>
        <v>0</v>
      </c>
      <c r="DR166" s="1008"/>
      <c r="DS166" s="1008">
        <f t="shared" si="169"/>
        <v>0</v>
      </c>
      <c r="DT166" s="1008">
        <f t="shared" si="169"/>
        <v>0</v>
      </c>
      <c r="DU166" s="1008"/>
      <c r="DV166" s="1008">
        <f t="shared" si="170"/>
        <v>0</v>
      </c>
      <c r="DW166" s="1008">
        <f t="shared" si="170"/>
        <v>0</v>
      </c>
      <c r="DX166" s="1008">
        <f t="shared" si="170"/>
        <v>0</v>
      </c>
      <c r="DY166" s="1008">
        <f t="shared" si="171"/>
        <v>0</v>
      </c>
      <c r="DZ166" s="1008">
        <f t="shared" si="171"/>
        <v>0</v>
      </c>
      <c r="EA166" s="1008">
        <f t="shared" si="171"/>
        <v>0</v>
      </c>
      <c r="EB166" s="1008">
        <f t="shared" si="171"/>
        <v>0</v>
      </c>
      <c r="EC166" s="1008">
        <f t="shared" si="171"/>
        <v>0</v>
      </c>
      <c r="ED166" s="1008">
        <f t="shared" si="172"/>
        <v>0</v>
      </c>
    </row>
    <row r="167" spans="1:134" ht="55.5" hidden="1" customHeight="1" x14ac:dyDescent="0.25">
      <c r="A167" s="1560"/>
      <c r="B167" s="989"/>
      <c r="C167" s="1635" t="s">
        <v>4529</v>
      </c>
      <c r="D167" s="1019" t="s">
        <v>4642</v>
      </c>
      <c r="E167" s="994">
        <v>211</v>
      </c>
      <c r="F167" s="1120" t="s">
        <v>4743</v>
      </c>
      <c r="G167" s="1400"/>
      <c r="H167" s="1061">
        <f t="shared" si="143"/>
        <v>220009333</v>
      </c>
      <c r="I167" s="1061">
        <f t="shared" si="144"/>
        <v>343189377</v>
      </c>
      <c r="J167" s="1576"/>
      <c r="K167" s="1579"/>
      <c r="L167" s="1573"/>
      <c r="M167" s="1115">
        <v>1</v>
      </c>
      <c r="N167" s="1115">
        <v>0</v>
      </c>
      <c r="O167" s="1115">
        <v>0</v>
      </c>
      <c r="P167" s="1115">
        <v>0</v>
      </c>
      <c r="Q167" s="1115">
        <v>0</v>
      </c>
      <c r="R167" s="1115">
        <v>0</v>
      </c>
      <c r="S167" s="1120"/>
      <c r="T167" s="1120"/>
      <c r="U167" s="1120"/>
      <c r="V167" s="1120"/>
      <c r="W167" s="1120"/>
      <c r="X167" s="1120"/>
      <c r="Y167" s="1008">
        <f t="shared" si="173"/>
        <v>563198710</v>
      </c>
      <c r="Z167" s="944"/>
      <c r="AA167" s="1008"/>
      <c r="AB167" s="1008"/>
      <c r="AC167" s="1008">
        <f>200000000+194000000-116541544+210000000</f>
        <v>487458456</v>
      </c>
      <c r="AD167" s="1008"/>
      <c r="AE167" s="1008"/>
      <c r="AF167" s="1008">
        <f>194000000-194000000</f>
        <v>0</v>
      </c>
      <c r="AG167" s="1008"/>
      <c r="AH167" s="1008"/>
      <c r="AI167" s="1008"/>
      <c r="AJ167" s="1008"/>
      <c r="AK167" s="1008"/>
      <c r="AL167" s="1008"/>
      <c r="AM167" s="1008"/>
      <c r="AN167" s="1008"/>
      <c r="AO167" s="1008"/>
      <c r="AP167" s="1008"/>
      <c r="AQ167" s="1008"/>
      <c r="AR167" s="1008"/>
      <c r="AS167" s="1008">
        <f>45131378+17223876+13385000</f>
        <v>75740254</v>
      </c>
      <c r="AT167" s="1008"/>
      <c r="AU167" s="1011">
        <f t="shared" si="103"/>
        <v>0.96941776375872735</v>
      </c>
      <c r="AV167" s="1008">
        <f t="shared" si="174"/>
        <v>545974834</v>
      </c>
      <c r="AW167" s="1008"/>
      <c r="AX167" s="1008"/>
      <c r="AY167" s="1008"/>
      <c r="AZ167" s="1008">
        <f>+'[17]SEPTIEMBRE 2015'!$M$341</f>
        <v>487458456</v>
      </c>
      <c r="BA167" s="1008"/>
      <c r="BB167" s="1008"/>
      <c r="BC167" s="1008"/>
      <c r="BD167" s="1008"/>
      <c r="BE167" s="1008"/>
      <c r="BF167" s="1008"/>
      <c r="BG167" s="1008"/>
      <c r="BH167" s="1008"/>
      <c r="BI167" s="1008"/>
      <c r="BJ167" s="1008"/>
      <c r="BK167" s="1008"/>
      <c r="BL167" s="1008"/>
      <c r="BM167" s="1008"/>
      <c r="BN167" s="1008"/>
      <c r="BO167" s="1008"/>
      <c r="BP167" s="1008">
        <f>+'[17]SEPTIEMBRE 2015'!$AD$341</f>
        <v>58516378</v>
      </c>
      <c r="BQ167" s="1011">
        <f t="shared" si="105"/>
        <v>3.0582236241272653E-2</v>
      </c>
      <c r="BR167" s="1008">
        <f t="shared" si="175"/>
        <v>17223876</v>
      </c>
      <c r="BS167" s="1008">
        <f t="shared" si="164"/>
        <v>0</v>
      </c>
      <c r="BT167" s="1008">
        <f t="shared" si="165"/>
        <v>0</v>
      </c>
      <c r="BU167" s="1008"/>
      <c r="BV167" s="1008">
        <f t="shared" si="162"/>
        <v>0</v>
      </c>
      <c r="BW167" s="1008">
        <f t="shared" si="162"/>
        <v>0</v>
      </c>
      <c r="BX167" s="1008">
        <f t="shared" si="166"/>
        <v>0</v>
      </c>
      <c r="BY167" s="1008">
        <f t="shared" si="166"/>
        <v>0</v>
      </c>
      <c r="BZ167" s="1008"/>
      <c r="CA167" s="1008">
        <f t="shared" si="167"/>
        <v>0</v>
      </c>
      <c r="CB167" s="1008">
        <f t="shared" si="167"/>
        <v>0</v>
      </c>
      <c r="CC167" s="1008">
        <f t="shared" si="167"/>
        <v>0</v>
      </c>
      <c r="CD167" s="1008">
        <f t="shared" si="167"/>
        <v>0</v>
      </c>
      <c r="CE167" s="1008">
        <f t="shared" si="167"/>
        <v>0</v>
      </c>
      <c r="CF167" s="1008">
        <f t="shared" si="167"/>
        <v>0</v>
      </c>
      <c r="CG167" s="1008">
        <f t="shared" si="167"/>
        <v>0</v>
      </c>
      <c r="CH167" s="1008">
        <f t="shared" si="167"/>
        <v>0</v>
      </c>
      <c r="CI167" s="1008">
        <f t="shared" si="167"/>
        <v>0</v>
      </c>
      <c r="CJ167" s="1008"/>
      <c r="CK167" s="1008">
        <f t="shared" si="168"/>
        <v>0</v>
      </c>
      <c r="CL167" s="1008">
        <f t="shared" si="168"/>
        <v>17223876</v>
      </c>
      <c r="CM167" s="1011">
        <f t="shared" si="113"/>
        <v>0.39064246613775094</v>
      </c>
      <c r="CN167" s="1008">
        <f t="shared" si="176"/>
        <v>220009333</v>
      </c>
      <c r="CO167" s="1008"/>
      <c r="CP167" s="1008"/>
      <c r="CQ167" s="1008"/>
      <c r="CR167" s="1008">
        <f>+'[18]OCTUBRE 2015'!$H$359+'[18]OCTUBRE 2015'!$H$367+'[18]OCTUBRE 2015'!$H$369+'[18]OCTUBRE 2015'!$H$375+'[18]OCTUBRE 2015'!$H$376</f>
        <v>192406653</v>
      </c>
      <c r="CS167" s="1008"/>
      <c r="CT167" s="1008"/>
      <c r="CU167" s="1008"/>
      <c r="CV167" s="1008"/>
      <c r="CW167" s="1008"/>
      <c r="CX167" s="1008"/>
      <c r="CY167" s="1008"/>
      <c r="CZ167" s="1008"/>
      <c r="DA167" s="1008"/>
      <c r="DB167" s="1008"/>
      <c r="DC167" s="1008"/>
      <c r="DD167" s="1008"/>
      <c r="DE167" s="1008"/>
      <c r="DF167" s="1008"/>
      <c r="DG167" s="1008"/>
      <c r="DH167" s="1008">
        <f>+'[18]OCTUBRE 2015'!$H$361+'[18]OCTUBRE 2015'!$H$363+'[18]OCTUBRE 2015'!$H$372</f>
        <v>27602680</v>
      </c>
      <c r="DI167" s="1011">
        <f t="shared" si="115"/>
        <v>0.609357533862249</v>
      </c>
      <c r="DJ167" s="1008">
        <f t="shared" si="177"/>
        <v>343189377</v>
      </c>
      <c r="DK167" s="1008"/>
      <c r="DL167" s="1008"/>
      <c r="DM167" s="1008"/>
      <c r="DN167" s="1008">
        <f t="shared" si="163"/>
        <v>295051803</v>
      </c>
      <c r="DO167" s="1008">
        <f t="shared" si="163"/>
        <v>0</v>
      </c>
      <c r="DP167" s="1008">
        <f t="shared" si="163"/>
        <v>0</v>
      </c>
      <c r="DQ167" s="1008">
        <f t="shared" si="163"/>
        <v>0</v>
      </c>
      <c r="DR167" s="1008"/>
      <c r="DS167" s="1008">
        <f t="shared" si="169"/>
        <v>0</v>
      </c>
      <c r="DT167" s="1008">
        <f t="shared" si="169"/>
        <v>0</v>
      </c>
      <c r="DU167" s="1008"/>
      <c r="DV167" s="1008">
        <f t="shared" si="170"/>
        <v>0</v>
      </c>
      <c r="DW167" s="1008">
        <f t="shared" si="170"/>
        <v>0</v>
      </c>
      <c r="DX167" s="1008">
        <f t="shared" si="170"/>
        <v>0</v>
      </c>
      <c r="DY167" s="1008">
        <f t="shared" si="171"/>
        <v>0</v>
      </c>
      <c r="DZ167" s="1008">
        <f t="shared" si="171"/>
        <v>0</v>
      </c>
      <c r="EA167" s="1008">
        <f t="shared" si="171"/>
        <v>0</v>
      </c>
      <c r="EB167" s="1008">
        <f t="shared" si="171"/>
        <v>0</v>
      </c>
      <c r="EC167" s="1008">
        <f t="shared" si="171"/>
        <v>0</v>
      </c>
      <c r="ED167" s="1008">
        <f t="shared" si="172"/>
        <v>48137574</v>
      </c>
    </row>
    <row r="168" spans="1:134" ht="36" hidden="1" customHeight="1" x14ac:dyDescent="0.25">
      <c r="A168" s="1560"/>
      <c r="B168" s="989"/>
      <c r="C168" s="1635" t="s">
        <v>4530</v>
      </c>
      <c r="D168" s="1053" t="s">
        <v>4510</v>
      </c>
      <c r="E168" s="994">
        <v>211</v>
      </c>
      <c r="F168" s="1120" t="s">
        <v>4670</v>
      </c>
      <c r="G168" s="1400"/>
      <c r="H168" s="1061">
        <f t="shared" si="143"/>
        <v>3525240</v>
      </c>
      <c r="I168" s="1061">
        <f t="shared" si="144"/>
        <v>0</v>
      </c>
      <c r="J168" s="1577"/>
      <c r="K168" s="1580"/>
      <c r="L168" s="1284"/>
      <c r="M168" s="1115">
        <v>59</v>
      </c>
      <c r="N168" s="1115">
        <v>0</v>
      </c>
      <c r="O168" s="1115">
        <v>0</v>
      </c>
      <c r="P168" s="1115">
        <v>44</v>
      </c>
      <c r="Q168" s="1115">
        <v>60</v>
      </c>
      <c r="R168" s="1115">
        <v>26</v>
      </c>
      <c r="S168" s="1120"/>
      <c r="T168" s="1120"/>
      <c r="U168" s="1120"/>
      <c r="V168" s="1120"/>
      <c r="W168" s="1120"/>
      <c r="X168" s="1120"/>
      <c r="Y168" s="1008">
        <f t="shared" si="173"/>
        <v>3525240</v>
      </c>
      <c r="Z168" s="944"/>
      <c r="AA168" s="1008"/>
      <c r="AB168" s="1008"/>
      <c r="AC168" s="1008"/>
      <c r="AD168" s="1008"/>
      <c r="AE168" s="1008"/>
      <c r="AF168" s="1008"/>
      <c r="AG168" s="1008"/>
      <c r="AH168" s="1008"/>
      <c r="AI168" s="1008"/>
      <c r="AJ168" s="1008"/>
      <c r="AK168" s="1008"/>
      <c r="AL168" s="1008"/>
      <c r="AM168" s="1008"/>
      <c r="AN168" s="1008"/>
      <c r="AO168" s="1008"/>
      <c r="AP168" s="1008"/>
      <c r="AQ168" s="1008"/>
      <c r="AR168" s="1008"/>
      <c r="AS168" s="1008">
        <f>6000000+2000000-4474760</f>
        <v>3525240</v>
      </c>
      <c r="AT168" s="1008"/>
      <c r="AU168" s="1011">
        <f t="shared" si="103"/>
        <v>1</v>
      </c>
      <c r="AV168" s="1008">
        <f t="shared" si="174"/>
        <v>3525240</v>
      </c>
      <c r="AW168" s="1008"/>
      <c r="AX168" s="1008"/>
      <c r="AY168" s="1008"/>
      <c r="AZ168" s="1008"/>
      <c r="BA168" s="1008"/>
      <c r="BB168" s="1008"/>
      <c r="BC168" s="1008"/>
      <c r="BD168" s="1008"/>
      <c r="BE168" s="1008"/>
      <c r="BF168" s="1008"/>
      <c r="BG168" s="1008"/>
      <c r="BH168" s="1008"/>
      <c r="BI168" s="1008"/>
      <c r="BJ168" s="1008"/>
      <c r="BK168" s="1008"/>
      <c r="BL168" s="1008"/>
      <c r="BM168" s="1008"/>
      <c r="BN168" s="1008"/>
      <c r="BO168" s="1008"/>
      <c r="BP168" s="1008">
        <f>+'[16]AGOSTO 2015'!$AD$339</f>
        <v>3525240</v>
      </c>
      <c r="BQ168" s="1011">
        <f t="shared" si="105"/>
        <v>0</v>
      </c>
      <c r="BR168" s="1008">
        <f t="shared" si="175"/>
        <v>0</v>
      </c>
      <c r="BS168" s="1008">
        <f t="shared" si="164"/>
        <v>0</v>
      </c>
      <c r="BT168" s="1008">
        <f t="shared" si="165"/>
        <v>0</v>
      </c>
      <c r="BU168" s="1008"/>
      <c r="BV168" s="1008">
        <f t="shared" si="162"/>
        <v>0</v>
      </c>
      <c r="BW168" s="1008">
        <f t="shared" si="162"/>
        <v>0</v>
      </c>
      <c r="BX168" s="1008">
        <f t="shared" si="166"/>
        <v>0</v>
      </c>
      <c r="BY168" s="1008">
        <f t="shared" si="166"/>
        <v>0</v>
      </c>
      <c r="BZ168" s="1008"/>
      <c r="CA168" s="1008">
        <f t="shared" si="167"/>
        <v>0</v>
      </c>
      <c r="CB168" s="1008">
        <f t="shared" si="167"/>
        <v>0</v>
      </c>
      <c r="CC168" s="1008">
        <f t="shared" si="167"/>
        <v>0</v>
      </c>
      <c r="CD168" s="1008">
        <f t="shared" si="167"/>
        <v>0</v>
      </c>
      <c r="CE168" s="1008">
        <f t="shared" si="167"/>
        <v>0</v>
      </c>
      <c r="CF168" s="1008">
        <f t="shared" si="167"/>
        <v>0</v>
      </c>
      <c r="CG168" s="1008">
        <f t="shared" si="167"/>
        <v>0</v>
      </c>
      <c r="CH168" s="1008">
        <f t="shared" si="167"/>
        <v>0</v>
      </c>
      <c r="CI168" s="1008">
        <f t="shared" si="167"/>
        <v>0</v>
      </c>
      <c r="CJ168" s="1008"/>
      <c r="CK168" s="1008">
        <f t="shared" si="168"/>
        <v>0</v>
      </c>
      <c r="CL168" s="1008">
        <f t="shared" si="168"/>
        <v>0</v>
      </c>
      <c r="CM168" s="1011">
        <f t="shared" si="113"/>
        <v>1</v>
      </c>
      <c r="CN168" s="1008">
        <f t="shared" si="176"/>
        <v>3525240</v>
      </c>
      <c r="CO168" s="1008"/>
      <c r="CP168" s="1008"/>
      <c r="CQ168" s="1008"/>
      <c r="CR168" s="1008"/>
      <c r="CS168" s="1008"/>
      <c r="CT168" s="1008"/>
      <c r="CU168" s="1008"/>
      <c r="CV168" s="1008"/>
      <c r="CW168" s="1008"/>
      <c r="CX168" s="1008"/>
      <c r="CY168" s="1008"/>
      <c r="CZ168" s="1008"/>
      <c r="DA168" s="1008"/>
      <c r="DB168" s="1008"/>
      <c r="DC168" s="1008"/>
      <c r="DD168" s="1008"/>
      <c r="DE168" s="1008"/>
      <c r="DF168" s="1008"/>
      <c r="DG168" s="1008"/>
      <c r="DH168" s="1008">
        <f>+'[8]FEBRERO 2015'!$H$228</f>
        <v>3525240</v>
      </c>
      <c r="DI168" s="1011">
        <f t="shared" si="115"/>
        <v>0</v>
      </c>
      <c r="DJ168" s="1008">
        <f t="shared" si="177"/>
        <v>0</v>
      </c>
      <c r="DK168" s="1008"/>
      <c r="DL168" s="1008"/>
      <c r="DM168" s="1008"/>
      <c r="DN168" s="1008">
        <f t="shared" si="163"/>
        <v>0</v>
      </c>
      <c r="DO168" s="1008">
        <f t="shared" si="163"/>
        <v>0</v>
      </c>
      <c r="DP168" s="1008">
        <f t="shared" si="163"/>
        <v>0</v>
      </c>
      <c r="DQ168" s="1008">
        <f t="shared" si="163"/>
        <v>0</v>
      </c>
      <c r="DR168" s="1008"/>
      <c r="DS168" s="1008">
        <f t="shared" si="169"/>
        <v>0</v>
      </c>
      <c r="DT168" s="1008">
        <f t="shared" si="169"/>
        <v>0</v>
      </c>
      <c r="DU168" s="1008"/>
      <c r="DV168" s="1008">
        <f t="shared" si="170"/>
        <v>0</v>
      </c>
      <c r="DW168" s="1008">
        <f t="shared" si="170"/>
        <v>0</v>
      </c>
      <c r="DX168" s="1008">
        <f t="shared" si="170"/>
        <v>0</v>
      </c>
      <c r="DY168" s="1008">
        <f t="shared" si="171"/>
        <v>0</v>
      </c>
      <c r="DZ168" s="1008">
        <f t="shared" si="171"/>
        <v>0</v>
      </c>
      <c r="EA168" s="1008">
        <f t="shared" si="171"/>
        <v>0</v>
      </c>
      <c r="EB168" s="1008">
        <f t="shared" si="171"/>
        <v>0</v>
      </c>
      <c r="EC168" s="1008">
        <f t="shared" si="171"/>
        <v>0</v>
      </c>
      <c r="ED168" s="1008">
        <f t="shared" si="172"/>
        <v>0</v>
      </c>
    </row>
    <row r="169" spans="1:134" ht="29.25" hidden="1" customHeight="1" x14ac:dyDescent="0.25">
      <c r="A169" s="1560"/>
      <c r="B169" s="989"/>
      <c r="C169" s="1635" t="s">
        <v>4531</v>
      </c>
      <c r="D169" s="1019" t="s">
        <v>4511</v>
      </c>
      <c r="E169" s="994">
        <v>211</v>
      </c>
      <c r="F169" s="1120" t="s">
        <v>4482</v>
      </c>
      <c r="G169" s="1400"/>
      <c r="H169" s="1061">
        <f t="shared" si="143"/>
        <v>293993067</v>
      </c>
      <c r="I169" s="1061">
        <f t="shared" si="144"/>
        <v>21537385</v>
      </c>
      <c r="J169" s="1399">
        <v>60</v>
      </c>
      <c r="K169" s="1283">
        <v>117</v>
      </c>
      <c r="L169" s="1283">
        <v>117</v>
      </c>
      <c r="M169" s="1115">
        <v>56</v>
      </c>
      <c r="N169" s="1115">
        <v>0</v>
      </c>
      <c r="O169" s="1115">
        <v>0</v>
      </c>
      <c r="P169" s="1115">
        <v>49</v>
      </c>
      <c r="Q169" s="1115">
        <v>51</v>
      </c>
      <c r="R169" s="1115">
        <v>25</v>
      </c>
      <c r="S169" s="1120"/>
      <c r="T169" s="1120"/>
      <c r="U169" s="1120"/>
      <c r="V169" s="1120"/>
      <c r="W169" s="1120"/>
      <c r="X169" s="1120"/>
      <c r="Y169" s="1008">
        <f t="shared" si="173"/>
        <v>315530452</v>
      </c>
      <c r="Z169" s="944"/>
      <c r="AA169" s="944"/>
      <c r="AB169" s="944"/>
      <c r="AC169" s="1008">
        <v>80000000</v>
      </c>
      <c r="AD169" s="944"/>
      <c r="AE169" s="1008">
        <v>210000000</v>
      </c>
      <c r="AF169" s="1008"/>
      <c r="AG169" s="1008"/>
      <c r="AH169" s="1008"/>
      <c r="AI169" s="1008"/>
      <c r="AJ169" s="1008"/>
      <c r="AK169" s="1008"/>
      <c r="AL169" s="1008"/>
      <c r="AM169" s="1008"/>
      <c r="AN169" s="1008"/>
      <c r="AO169" s="1008">
        <v>25530452</v>
      </c>
      <c r="AP169" s="1008"/>
      <c r="AQ169" s="1008"/>
      <c r="AR169" s="1008"/>
      <c r="AS169" s="1008"/>
      <c r="AT169" s="1008"/>
      <c r="AU169" s="1011">
        <f t="shared" si="103"/>
        <v>0.98781593670077839</v>
      </c>
      <c r="AV169" s="1008">
        <f t="shared" si="174"/>
        <v>311686009</v>
      </c>
      <c r="AW169" s="1008"/>
      <c r="AX169" s="1008"/>
      <c r="AY169" s="1008"/>
      <c r="AZ169" s="1008">
        <f>+'[18]OCTUBRE 2015'!$M$391</f>
        <v>77280360</v>
      </c>
      <c r="BA169" s="1008"/>
      <c r="BB169" s="1008">
        <f>+'[18]OCTUBRE 2015'!$O$391</f>
        <v>208875197</v>
      </c>
      <c r="BC169" s="1008"/>
      <c r="BD169" s="1008"/>
      <c r="BE169" s="1008"/>
      <c r="BF169" s="1008"/>
      <c r="BG169" s="1008"/>
      <c r="BH169" s="1008"/>
      <c r="BI169" s="1008"/>
      <c r="BJ169" s="1008"/>
      <c r="BK169" s="1008"/>
      <c r="BL169" s="1008">
        <f>+'[14]JUNIO 2015'!$Y$297</f>
        <v>25530452</v>
      </c>
      <c r="BM169" s="1008"/>
      <c r="BN169" s="1008"/>
      <c r="BO169" s="1008"/>
      <c r="BP169" s="1008"/>
      <c r="BQ169" s="1011">
        <f t="shared" si="105"/>
        <v>1.2184063299221615E-2</v>
      </c>
      <c r="BR169" s="1008">
        <f t="shared" si="175"/>
        <v>3844443</v>
      </c>
      <c r="BS169" s="1008">
        <f t="shared" si="164"/>
        <v>0</v>
      </c>
      <c r="BT169" s="1008">
        <f t="shared" si="165"/>
        <v>0</v>
      </c>
      <c r="BU169" s="1008"/>
      <c r="BV169" s="1008">
        <f t="shared" si="162"/>
        <v>2719640</v>
      </c>
      <c r="BW169" s="1008">
        <f t="shared" si="162"/>
        <v>0</v>
      </c>
      <c r="BX169" s="1008">
        <f t="shared" si="166"/>
        <v>1124803</v>
      </c>
      <c r="BY169" s="1008">
        <f t="shared" si="166"/>
        <v>0</v>
      </c>
      <c r="BZ169" s="1008"/>
      <c r="CA169" s="1008">
        <f t="shared" si="167"/>
        <v>0</v>
      </c>
      <c r="CB169" s="1008">
        <f t="shared" si="167"/>
        <v>0</v>
      </c>
      <c r="CC169" s="1008">
        <f t="shared" si="167"/>
        <v>0</v>
      </c>
      <c r="CD169" s="1008">
        <f t="shared" si="167"/>
        <v>0</v>
      </c>
      <c r="CE169" s="1008">
        <f t="shared" si="167"/>
        <v>0</v>
      </c>
      <c r="CF169" s="1008">
        <f t="shared" si="167"/>
        <v>0</v>
      </c>
      <c r="CG169" s="1008">
        <f t="shared" si="167"/>
        <v>0</v>
      </c>
      <c r="CH169" s="1008">
        <f t="shared" si="167"/>
        <v>0</v>
      </c>
      <c r="CI169" s="1008">
        <f t="shared" si="167"/>
        <v>0</v>
      </c>
      <c r="CJ169" s="1008"/>
      <c r="CK169" s="1008">
        <f t="shared" si="168"/>
        <v>0</v>
      </c>
      <c r="CL169" s="1008">
        <f t="shared" si="168"/>
        <v>0</v>
      </c>
      <c r="CM169" s="1011">
        <f t="shared" si="113"/>
        <v>0.93174229345064929</v>
      </c>
      <c r="CN169" s="1008">
        <f t="shared" si="176"/>
        <v>293993067</v>
      </c>
      <c r="CO169" s="1008"/>
      <c r="CP169" s="1008"/>
      <c r="CQ169" s="1008"/>
      <c r="CR169" s="1008">
        <f>+'[17]SEPTIEMBRE 2015'!$H$400</f>
        <v>77280360</v>
      </c>
      <c r="CS169" s="1008"/>
      <c r="CT169" s="1008">
        <f>+'[15]JULIO 2015'!$H$332+'[15]JULIO 2015'!$H$347</f>
        <v>208736238</v>
      </c>
      <c r="CU169" s="1008"/>
      <c r="CV169" s="1008"/>
      <c r="CW169" s="1008"/>
      <c r="CX169" s="1008"/>
      <c r="CY169" s="1008"/>
      <c r="CZ169" s="1008"/>
      <c r="DA169" s="1008"/>
      <c r="DB169" s="1008"/>
      <c r="DC169" s="1008"/>
      <c r="DD169" s="1008">
        <f>+'[15]JULIO 2015'!$H$358</f>
        <v>7976469</v>
      </c>
      <c r="DE169" s="1008"/>
      <c r="DF169" s="1008"/>
      <c r="DG169" s="1008"/>
      <c r="DH169" s="1008"/>
      <c r="DI169" s="1011">
        <f t="shared" si="115"/>
        <v>6.8257706549350705E-2</v>
      </c>
      <c r="DJ169" s="1008">
        <f t="shared" si="177"/>
        <v>21537385</v>
      </c>
      <c r="DK169" s="1008"/>
      <c r="DL169" s="1008"/>
      <c r="DM169" s="1008"/>
      <c r="DN169" s="1008">
        <f t="shared" si="163"/>
        <v>2719640</v>
      </c>
      <c r="DO169" s="1008">
        <f t="shared" si="163"/>
        <v>0</v>
      </c>
      <c r="DP169" s="1008">
        <f t="shared" si="163"/>
        <v>1263762</v>
      </c>
      <c r="DQ169" s="1008">
        <f t="shared" si="163"/>
        <v>0</v>
      </c>
      <c r="DR169" s="1008"/>
      <c r="DS169" s="1008">
        <f t="shared" si="169"/>
        <v>0</v>
      </c>
      <c r="DT169" s="1008">
        <f t="shared" si="169"/>
        <v>0</v>
      </c>
      <c r="DU169" s="1008"/>
      <c r="DV169" s="1008">
        <f t="shared" si="170"/>
        <v>0</v>
      </c>
      <c r="DW169" s="1008">
        <f t="shared" si="170"/>
        <v>0</v>
      </c>
      <c r="DX169" s="1008">
        <f t="shared" si="170"/>
        <v>0</v>
      </c>
      <c r="DY169" s="1008">
        <f t="shared" si="171"/>
        <v>0</v>
      </c>
      <c r="DZ169" s="1008">
        <f t="shared" si="171"/>
        <v>17553983</v>
      </c>
      <c r="EA169" s="1008">
        <f t="shared" si="171"/>
        <v>0</v>
      </c>
      <c r="EB169" s="1008">
        <f t="shared" si="171"/>
        <v>0</v>
      </c>
      <c r="EC169" s="1008">
        <f t="shared" si="171"/>
        <v>0</v>
      </c>
      <c r="ED169" s="1008">
        <f t="shared" si="172"/>
        <v>0</v>
      </c>
    </row>
    <row r="170" spans="1:134" ht="50.25" hidden="1" customHeight="1" x14ac:dyDescent="0.25">
      <c r="A170" s="1560"/>
      <c r="B170" s="989"/>
      <c r="C170" s="1635" t="s">
        <v>4532</v>
      </c>
      <c r="D170" s="1019" t="s">
        <v>4746</v>
      </c>
      <c r="E170" s="994">
        <v>211</v>
      </c>
      <c r="F170" s="1120" t="s">
        <v>4744</v>
      </c>
      <c r="G170" s="1400"/>
      <c r="H170" s="1061">
        <f t="shared" si="143"/>
        <v>0</v>
      </c>
      <c r="I170" s="1061">
        <f t="shared" si="144"/>
        <v>5000000</v>
      </c>
      <c r="J170" s="1400"/>
      <c r="K170" s="1573"/>
      <c r="L170" s="1573"/>
      <c r="M170" s="1115">
        <v>0</v>
      </c>
      <c r="N170" s="1115">
        <v>0</v>
      </c>
      <c r="O170" s="1115">
        <v>0</v>
      </c>
      <c r="P170" s="1115">
        <v>0</v>
      </c>
      <c r="Q170" s="1115">
        <v>0</v>
      </c>
      <c r="R170" s="1115">
        <v>0</v>
      </c>
      <c r="S170" s="1120"/>
      <c r="T170" s="1120"/>
      <c r="U170" s="1120"/>
      <c r="V170" s="1120"/>
      <c r="W170" s="1120"/>
      <c r="X170" s="1120"/>
      <c r="Y170" s="1008">
        <f t="shared" si="173"/>
        <v>5000000</v>
      </c>
      <c r="Z170" s="944"/>
      <c r="AA170" s="944"/>
      <c r="AB170" s="944"/>
      <c r="AC170" s="944">
        <f>97849888-97849888</f>
        <v>0</v>
      </c>
      <c r="AD170" s="944"/>
      <c r="AE170" s="1008"/>
      <c r="AF170" s="1008">
        <f>97849888-97849888</f>
        <v>0</v>
      </c>
      <c r="AG170" s="1008"/>
      <c r="AH170" s="1008"/>
      <c r="AI170" s="1008"/>
      <c r="AJ170" s="1008"/>
      <c r="AK170" s="1008"/>
      <c r="AL170" s="1008"/>
      <c r="AM170" s="1008"/>
      <c r="AN170" s="1008"/>
      <c r="AO170" s="1008"/>
      <c r="AP170" s="1008"/>
      <c r="AQ170" s="1008"/>
      <c r="AR170" s="1008"/>
      <c r="AS170" s="1008">
        <f>5000000</f>
        <v>5000000</v>
      </c>
      <c r="AT170" s="1008"/>
      <c r="AU170" s="1011">
        <f t="shared" si="103"/>
        <v>1</v>
      </c>
      <c r="AV170" s="1008">
        <f t="shared" si="174"/>
        <v>5000000</v>
      </c>
      <c r="AW170" s="1008"/>
      <c r="AX170" s="1008"/>
      <c r="AY170" s="1008"/>
      <c r="AZ170" s="1008"/>
      <c r="BA170" s="1008"/>
      <c r="BB170" s="1008"/>
      <c r="BC170" s="1008"/>
      <c r="BD170" s="1008"/>
      <c r="BE170" s="1008"/>
      <c r="BF170" s="1008"/>
      <c r="BG170" s="1008"/>
      <c r="BH170" s="1008"/>
      <c r="BI170" s="1008"/>
      <c r="BJ170" s="1008"/>
      <c r="BK170" s="1008"/>
      <c r="BL170" s="1008"/>
      <c r="BM170" s="1008"/>
      <c r="BN170" s="1008"/>
      <c r="BO170" s="1008"/>
      <c r="BP170" s="1008">
        <f>+'[15]JULIO 2015'!$AD$363</f>
        <v>5000000</v>
      </c>
      <c r="BQ170" s="1011">
        <f t="shared" si="105"/>
        <v>0</v>
      </c>
      <c r="BR170" s="1008">
        <f t="shared" si="175"/>
        <v>0</v>
      </c>
      <c r="BS170" s="1008">
        <f t="shared" si="164"/>
        <v>0</v>
      </c>
      <c r="BT170" s="1008">
        <f t="shared" si="165"/>
        <v>0</v>
      </c>
      <c r="BU170" s="1008"/>
      <c r="BV170" s="1008">
        <f t="shared" si="162"/>
        <v>0</v>
      </c>
      <c r="BW170" s="1008">
        <f t="shared" si="162"/>
        <v>0</v>
      </c>
      <c r="BX170" s="1008">
        <f t="shared" si="166"/>
        <v>0</v>
      </c>
      <c r="BY170" s="1008">
        <f t="shared" si="166"/>
        <v>0</v>
      </c>
      <c r="BZ170" s="1008"/>
      <c r="CA170" s="1008">
        <f t="shared" si="167"/>
        <v>0</v>
      </c>
      <c r="CB170" s="1008">
        <f t="shared" si="167"/>
        <v>0</v>
      </c>
      <c r="CC170" s="1008">
        <f t="shared" si="167"/>
        <v>0</v>
      </c>
      <c r="CD170" s="1008">
        <f t="shared" si="167"/>
        <v>0</v>
      </c>
      <c r="CE170" s="1008">
        <f t="shared" si="167"/>
        <v>0</v>
      </c>
      <c r="CF170" s="1008">
        <f t="shared" si="167"/>
        <v>0</v>
      </c>
      <c r="CG170" s="1008">
        <f t="shared" si="167"/>
        <v>0</v>
      </c>
      <c r="CH170" s="1008">
        <f t="shared" si="167"/>
        <v>0</v>
      </c>
      <c r="CI170" s="1008">
        <f t="shared" si="167"/>
        <v>0</v>
      </c>
      <c r="CJ170" s="1008"/>
      <c r="CK170" s="1008">
        <f t="shared" si="168"/>
        <v>0</v>
      </c>
      <c r="CL170" s="1008">
        <f t="shared" si="168"/>
        <v>0</v>
      </c>
      <c r="CM170" s="1011">
        <f t="shared" si="113"/>
        <v>0</v>
      </c>
      <c r="CN170" s="1008">
        <f t="shared" si="176"/>
        <v>0</v>
      </c>
      <c r="CO170" s="1008"/>
      <c r="CP170" s="1008"/>
      <c r="CQ170" s="1008"/>
      <c r="CR170" s="1008"/>
      <c r="CS170" s="1008"/>
      <c r="CT170" s="1008"/>
      <c r="CU170" s="1008"/>
      <c r="CV170" s="1008"/>
      <c r="CW170" s="1008"/>
      <c r="CX170" s="1008"/>
      <c r="CY170" s="1008"/>
      <c r="CZ170" s="1008"/>
      <c r="DA170" s="1008"/>
      <c r="DB170" s="1008"/>
      <c r="DC170" s="1008"/>
      <c r="DD170" s="1008"/>
      <c r="DE170" s="1008"/>
      <c r="DF170" s="1008"/>
      <c r="DG170" s="1008"/>
      <c r="DH170" s="1008"/>
      <c r="DI170" s="1011">
        <f t="shared" si="115"/>
        <v>1</v>
      </c>
      <c r="DJ170" s="1008">
        <f t="shared" si="177"/>
        <v>5000000</v>
      </c>
      <c r="DK170" s="1008"/>
      <c r="DL170" s="1008"/>
      <c r="DM170" s="1008"/>
      <c r="DN170" s="1008">
        <f t="shared" si="163"/>
        <v>0</v>
      </c>
      <c r="DO170" s="1008">
        <f t="shared" si="163"/>
        <v>0</v>
      </c>
      <c r="DP170" s="1008">
        <f t="shared" si="163"/>
        <v>0</v>
      </c>
      <c r="DQ170" s="1008">
        <f t="shared" si="163"/>
        <v>0</v>
      </c>
      <c r="DR170" s="1008"/>
      <c r="DS170" s="1008">
        <f t="shared" si="169"/>
        <v>0</v>
      </c>
      <c r="DT170" s="1008">
        <f t="shared" si="169"/>
        <v>0</v>
      </c>
      <c r="DU170" s="1008"/>
      <c r="DV170" s="1008">
        <f t="shared" si="170"/>
        <v>0</v>
      </c>
      <c r="DW170" s="1008">
        <f t="shared" si="170"/>
        <v>0</v>
      </c>
      <c r="DX170" s="1008">
        <f t="shared" si="170"/>
        <v>0</v>
      </c>
      <c r="DY170" s="1008">
        <f t="shared" si="171"/>
        <v>0</v>
      </c>
      <c r="DZ170" s="1008">
        <f t="shared" si="171"/>
        <v>0</v>
      </c>
      <c r="EA170" s="1008">
        <f t="shared" si="171"/>
        <v>0</v>
      </c>
      <c r="EB170" s="1008">
        <f t="shared" si="171"/>
        <v>0</v>
      </c>
      <c r="EC170" s="1008">
        <f t="shared" si="171"/>
        <v>0</v>
      </c>
      <c r="ED170" s="1008">
        <f t="shared" si="172"/>
        <v>5000000</v>
      </c>
    </row>
    <row r="171" spans="1:134" ht="51.75" hidden="1" customHeight="1" x14ac:dyDescent="0.25">
      <c r="A171" s="1560"/>
      <c r="B171" s="989"/>
      <c r="C171" s="1635" t="s">
        <v>4533</v>
      </c>
      <c r="D171" s="1019" t="s">
        <v>4537</v>
      </c>
      <c r="E171" s="994">
        <v>211</v>
      </c>
      <c r="F171" s="1120" t="s">
        <v>4512</v>
      </c>
      <c r="G171" s="1400"/>
      <c r="H171" s="1061">
        <f t="shared" si="143"/>
        <v>16564284</v>
      </c>
      <c r="I171" s="1061">
        <f t="shared" si="144"/>
        <v>25785828</v>
      </c>
      <c r="J171" s="1401"/>
      <c r="K171" s="1284"/>
      <c r="L171" s="1284"/>
      <c r="M171" s="1115">
        <v>21</v>
      </c>
      <c r="N171" s="1115">
        <v>0</v>
      </c>
      <c r="O171" s="1115">
        <v>0</v>
      </c>
      <c r="P171" s="1115">
        <v>10</v>
      </c>
      <c r="Q171" s="1115">
        <v>20</v>
      </c>
      <c r="R171" s="1115">
        <v>2</v>
      </c>
      <c r="S171" s="1120"/>
      <c r="T171" s="1120"/>
      <c r="U171" s="1120"/>
      <c r="V171" s="1120"/>
      <c r="W171" s="1120"/>
      <c r="X171" s="1120"/>
      <c r="Y171" s="1008">
        <f t="shared" si="173"/>
        <v>42350112</v>
      </c>
      <c r="Z171" s="944"/>
      <c r="AA171" s="1008"/>
      <c r="AB171" s="1008"/>
      <c r="AC171" s="1008"/>
      <c r="AD171" s="1008"/>
      <c r="AE171" s="1008"/>
      <c r="AF171" s="1008"/>
      <c r="AG171" s="1008"/>
      <c r="AH171" s="1008"/>
      <c r="AI171" s="1008"/>
      <c r="AJ171" s="1008"/>
      <c r="AK171" s="1008"/>
      <c r="AL171" s="1008"/>
      <c r="AM171" s="1008"/>
      <c r="AN171" s="1008"/>
      <c r="AO171" s="1008"/>
      <c r="AP171" s="1008"/>
      <c r="AQ171" s="1008"/>
      <c r="AR171" s="1008"/>
      <c r="AS171" s="1008">
        <f>8134775+1015337+11000000+21000000+1200000</f>
        <v>42350112</v>
      </c>
      <c r="AT171" s="1008"/>
      <c r="AU171" s="1011">
        <f t="shared" si="103"/>
        <v>0.57491994354111742</v>
      </c>
      <c r="AV171" s="1008">
        <f t="shared" si="174"/>
        <v>24347924</v>
      </c>
      <c r="AW171" s="1008"/>
      <c r="AX171" s="1008"/>
      <c r="AY171" s="1008"/>
      <c r="AZ171" s="1008"/>
      <c r="BA171" s="1008"/>
      <c r="BB171" s="1008"/>
      <c r="BC171" s="1008"/>
      <c r="BD171" s="1008"/>
      <c r="BE171" s="1008"/>
      <c r="BF171" s="1008"/>
      <c r="BG171" s="1008"/>
      <c r="BH171" s="1008"/>
      <c r="BI171" s="1008"/>
      <c r="BJ171" s="1008"/>
      <c r="BK171" s="1008"/>
      <c r="BL171" s="1008"/>
      <c r="BM171" s="1008"/>
      <c r="BN171" s="1008"/>
      <c r="BO171" s="1008"/>
      <c r="BP171" s="1008">
        <f>+'[17]SEPTIEMBRE 2015'!$AD$411</f>
        <v>24347924</v>
      </c>
      <c r="BQ171" s="1011">
        <f t="shared" si="105"/>
        <v>0.42508005645888258</v>
      </c>
      <c r="BR171" s="1008">
        <f t="shared" si="175"/>
        <v>18002188</v>
      </c>
      <c r="BS171" s="1008">
        <f t="shared" si="164"/>
        <v>0</v>
      </c>
      <c r="BT171" s="1008">
        <f t="shared" si="165"/>
        <v>0</v>
      </c>
      <c r="BU171" s="1008"/>
      <c r="BV171" s="1008">
        <f t="shared" si="162"/>
        <v>0</v>
      </c>
      <c r="BW171" s="1008">
        <f t="shared" si="162"/>
        <v>0</v>
      </c>
      <c r="BX171" s="1008">
        <f t="shared" si="166"/>
        <v>0</v>
      </c>
      <c r="BY171" s="1008">
        <f t="shared" si="166"/>
        <v>0</v>
      </c>
      <c r="BZ171" s="1008"/>
      <c r="CA171" s="1008">
        <f t="shared" si="167"/>
        <v>0</v>
      </c>
      <c r="CB171" s="1008">
        <f t="shared" si="167"/>
        <v>0</v>
      </c>
      <c r="CC171" s="1008">
        <f t="shared" si="167"/>
        <v>0</v>
      </c>
      <c r="CD171" s="1008">
        <f t="shared" si="167"/>
        <v>0</v>
      </c>
      <c r="CE171" s="1008">
        <f t="shared" si="167"/>
        <v>0</v>
      </c>
      <c r="CF171" s="1008">
        <f t="shared" si="167"/>
        <v>0</v>
      </c>
      <c r="CG171" s="1008">
        <f t="shared" si="167"/>
        <v>0</v>
      </c>
      <c r="CH171" s="1008">
        <f t="shared" si="167"/>
        <v>0</v>
      </c>
      <c r="CI171" s="1008">
        <f t="shared" si="167"/>
        <v>0</v>
      </c>
      <c r="CJ171" s="1008"/>
      <c r="CK171" s="1008">
        <f t="shared" si="168"/>
        <v>0</v>
      </c>
      <c r="CL171" s="1008">
        <f t="shared" si="168"/>
        <v>18002188</v>
      </c>
      <c r="CM171" s="1011">
        <f t="shared" si="113"/>
        <v>0.39112727730212377</v>
      </c>
      <c r="CN171" s="1008">
        <f t="shared" si="176"/>
        <v>16564284</v>
      </c>
      <c r="CO171" s="1008"/>
      <c r="CP171" s="1008"/>
      <c r="CQ171" s="1008"/>
      <c r="CR171" s="1008"/>
      <c r="CS171" s="1008"/>
      <c r="CT171" s="1008"/>
      <c r="CU171" s="1008"/>
      <c r="CV171" s="1008"/>
      <c r="CW171" s="1008"/>
      <c r="CX171" s="1008"/>
      <c r="CY171" s="1008"/>
      <c r="CZ171" s="1008"/>
      <c r="DA171" s="1008"/>
      <c r="DB171" s="1008"/>
      <c r="DC171" s="1008"/>
      <c r="DD171" s="1008"/>
      <c r="DE171" s="1008"/>
      <c r="DF171" s="1008"/>
      <c r="DG171" s="1008"/>
      <c r="DH171" s="1008">
        <f>+'[18]OCTUBRE 2015'!$H$429</f>
        <v>16564284</v>
      </c>
      <c r="DI171" s="1011">
        <f t="shared" si="115"/>
        <v>0.60887272269787629</v>
      </c>
      <c r="DJ171" s="1008">
        <f t="shared" si="177"/>
        <v>25785828</v>
      </c>
      <c r="DK171" s="1008"/>
      <c r="DL171" s="1008"/>
      <c r="DM171" s="1008"/>
      <c r="DN171" s="1008">
        <f t="shared" si="163"/>
        <v>0</v>
      </c>
      <c r="DO171" s="1008">
        <f t="shared" si="163"/>
        <v>0</v>
      </c>
      <c r="DP171" s="1008">
        <f t="shared" si="163"/>
        <v>0</v>
      </c>
      <c r="DQ171" s="1008">
        <f t="shared" si="163"/>
        <v>0</v>
      </c>
      <c r="DR171" s="1008"/>
      <c r="DS171" s="1008">
        <f t="shared" si="169"/>
        <v>0</v>
      </c>
      <c r="DT171" s="1008">
        <f t="shared" si="169"/>
        <v>0</v>
      </c>
      <c r="DU171" s="1008"/>
      <c r="DV171" s="1008">
        <f t="shared" si="170"/>
        <v>0</v>
      </c>
      <c r="DW171" s="1008">
        <f t="shared" si="170"/>
        <v>0</v>
      </c>
      <c r="DX171" s="1008">
        <f t="shared" si="170"/>
        <v>0</v>
      </c>
      <c r="DY171" s="1008">
        <f t="shared" si="171"/>
        <v>0</v>
      </c>
      <c r="DZ171" s="1008">
        <f t="shared" si="171"/>
        <v>0</v>
      </c>
      <c r="EA171" s="1008">
        <f t="shared" si="171"/>
        <v>0</v>
      </c>
      <c r="EB171" s="1008">
        <f t="shared" si="171"/>
        <v>0</v>
      </c>
      <c r="EC171" s="1008">
        <f t="shared" si="171"/>
        <v>0</v>
      </c>
      <c r="ED171" s="1008">
        <f t="shared" si="172"/>
        <v>25785828</v>
      </c>
    </row>
    <row r="172" spans="1:134" ht="51.75" hidden="1" customHeight="1" x14ac:dyDescent="0.25">
      <c r="A172" s="1560"/>
      <c r="B172" s="989"/>
      <c r="C172" s="1635" t="s">
        <v>4679</v>
      </c>
      <c r="D172" s="1019" t="s">
        <v>4682</v>
      </c>
      <c r="E172" s="994">
        <v>211</v>
      </c>
      <c r="F172" s="1120" t="s">
        <v>4482</v>
      </c>
      <c r="G172" s="1400"/>
      <c r="H172" s="1061">
        <f t="shared" si="143"/>
        <v>0</v>
      </c>
      <c r="I172" s="1061">
        <f t="shared" si="144"/>
        <v>92524043</v>
      </c>
      <c r="J172" s="1399">
        <v>0</v>
      </c>
      <c r="K172" s="1583">
        <v>1</v>
      </c>
      <c r="L172" s="1283">
        <v>100</v>
      </c>
      <c r="M172" s="1115">
        <v>0</v>
      </c>
      <c r="N172" s="1115">
        <v>0</v>
      </c>
      <c r="O172" s="1115">
        <v>0</v>
      </c>
      <c r="P172" s="1115">
        <v>0</v>
      </c>
      <c r="Q172" s="1115">
        <v>0</v>
      </c>
      <c r="R172" s="1115">
        <v>0</v>
      </c>
      <c r="S172" s="1120"/>
      <c r="T172" s="1120"/>
      <c r="U172" s="1120"/>
      <c r="V172" s="1120"/>
      <c r="W172" s="1120"/>
      <c r="X172" s="1120"/>
      <c r="Y172" s="1008">
        <f t="shared" si="173"/>
        <v>92524043</v>
      </c>
      <c r="Z172" s="944"/>
      <c r="AA172" s="1008"/>
      <c r="AB172" s="1008"/>
      <c r="AC172" s="1008"/>
      <c r="AD172" s="1008"/>
      <c r="AE172" s="1008"/>
      <c r="AF172" s="1008"/>
      <c r="AG172" s="1008"/>
      <c r="AH172" s="1008"/>
      <c r="AI172" s="1008"/>
      <c r="AJ172" s="1008"/>
      <c r="AK172" s="1008"/>
      <c r="AL172" s="1008"/>
      <c r="AM172" s="1008"/>
      <c r="AN172" s="1008"/>
      <c r="AO172" s="1008"/>
      <c r="AP172" s="1008"/>
      <c r="AQ172" s="1008"/>
      <c r="AR172" s="1008">
        <v>92524043</v>
      </c>
      <c r="AS172" s="1008"/>
      <c r="AT172" s="1008"/>
      <c r="AU172" s="1011">
        <f t="shared" si="103"/>
        <v>1</v>
      </c>
      <c r="AV172" s="1008">
        <f t="shared" si="174"/>
        <v>92524043</v>
      </c>
      <c r="AW172" s="1008"/>
      <c r="AX172" s="1008"/>
      <c r="AY172" s="1008"/>
      <c r="AZ172" s="1008"/>
      <c r="BA172" s="1008"/>
      <c r="BB172" s="1008"/>
      <c r="BC172" s="1008"/>
      <c r="BD172" s="1008"/>
      <c r="BE172" s="1008"/>
      <c r="BF172" s="1008"/>
      <c r="BG172" s="1008"/>
      <c r="BH172" s="1008"/>
      <c r="BI172" s="1008"/>
      <c r="BJ172" s="1008"/>
      <c r="BK172" s="1008"/>
      <c r="BL172" s="1008"/>
      <c r="BM172" s="1008"/>
      <c r="BN172" s="1008"/>
      <c r="BO172" s="1008">
        <f>+'[16]AGOSTO 2015'!$AC$401</f>
        <v>92524043</v>
      </c>
      <c r="BP172" s="1008"/>
      <c r="BQ172" s="1011">
        <f t="shared" si="105"/>
        <v>0</v>
      </c>
      <c r="BR172" s="1008">
        <f t="shared" si="175"/>
        <v>0</v>
      </c>
      <c r="BS172" s="1008">
        <f t="shared" si="164"/>
        <v>0</v>
      </c>
      <c r="BT172" s="1008">
        <f t="shared" si="165"/>
        <v>0</v>
      </c>
      <c r="BU172" s="1008"/>
      <c r="BV172" s="1008">
        <f t="shared" si="162"/>
        <v>0</v>
      </c>
      <c r="BW172" s="1008">
        <f t="shared" si="162"/>
        <v>0</v>
      </c>
      <c r="BX172" s="1008">
        <f t="shared" si="166"/>
        <v>0</v>
      </c>
      <c r="BY172" s="1008">
        <f t="shared" si="166"/>
        <v>0</v>
      </c>
      <c r="BZ172" s="1008"/>
      <c r="CA172" s="1008">
        <f t="shared" si="167"/>
        <v>0</v>
      </c>
      <c r="CB172" s="1008">
        <f t="shared" si="167"/>
        <v>0</v>
      </c>
      <c r="CC172" s="1008">
        <f t="shared" si="167"/>
        <v>0</v>
      </c>
      <c r="CD172" s="1008">
        <f t="shared" si="167"/>
        <v>0</v>
      </c>
      <c r="CE172" s="1008">
        <f t="shared" si="167"/>
        <v>0</v>
      </c>
      <c r="CF172" s="1008">
        <f t="shared" si="167"/>
        <v>0</v>
      </c>
      <c r="CG172" s="1008">
        <f t="shared" si="167"/>
        <v>0</v>
      </c>
      <c r="CH172" s="1008">
        <f t="shared" si="167"/>
        <v>0</v>
      </c>
      <c r="CI172" s="1008">
        <f t="shared" si="167"/>
        <v>0</v>
      </c>
      <c r="CJ172" s="1008"/>
      <c r="CK172" s="1008">
        <f t="shared" si="168"/>
        <v>0</v>
      </c>
      <c r="CL172" s="1008">
        <f t="shared" si="168"/>
        <v>0</v>
      </c>
      <c r="CM172" s="1011">
        <f t="shared" si="113"/>
        <v>0</v>
      </c>
      <c r="CN172" s="1008">
        <f t="shared" si="176"/>
        <v>0</v>
      </c>
      <c r="CO172" s="1008"/>
      <c r="CP172" s="1008"/>
      <c r="CQ172" s="1008"/>
      <c r="CR172" s="1008"/>
      <c r="CS172" s="1008"/>
      <c r="CT172" s="1008"/>
      <c r="CU172" s="1008"/>
      <c r="CV172" s="1008"/>
      <c r="CW172" s="1008"/>
      <c r="CX172" s="1008"/>
      <c r="CY172" s="1008"/>
      <c r="CZ172" s="1008"/>
      <c r="DA172" s="1008"/>
      <c r="DB172" s="1008"/>
      <c r="DC172" s="1008"/>
      <c r="DD172" s="1008"/>
      <c r="DE172" s="1008"/>
      <c r="DF172" s="1008"/>
      <c r="DG172" s="1008"/>
      <c r="DH172" s="1008"/>
      <c r="DI172" s="1011">
        <f t="shared" si="115"/>
        <v>1</v>
      </c>
      <c r="DJ172" s="1008">
        <f t="shared" si="177"/>
        <v>92524043</v>
      </c>
      <c r="DK172" s="1008"/>
      <c r="DL172" s="1008"/>
      <c r="DM172" s="1008"/>
      <c r="DN172" s="1008">
        <f t="shared" si="163"/>
        <v>0</v>
      </c>
      <c r="DO172" s="1008">
        <f t="shared" si="163"/>
        <v>0</v>
      </c>
      <c r="DP172" s="1008">
        <f t="shared" si="163"/>
        <v>0</v>
      </c>
      <c r="DQ172" s="1008">
        <f t="shared" si="163"/>
        <v>0</v>
      </c>
      <c r="DR172" s="1008"/>
      <c r="DS172" s="1008">
        <f t="shared" si="169"/>
        <v>0</v>
      </c>
      <c r="DT172" s="1008">
        <f t="shared" si="169"/>
        <v>0</v>
      </c>
      <c r="DU172" s="1008"/>
      <c r="DV172" s="1008">
        <f t="shared" si="170"/>
        <v>0</v>
      </c>
      <c r="DW172" s="1008">
        <f t="shared" si="170"/>
        <v>0</v>
      </c>
      <c r="DX172" s="1008">
        <f t="shared" si="170"/>
        <v>0</v>
      </c>
      <c r="DY172" s="1008">
        <f t="shared" si="171"/>
        <v>0</v>
      </c>
      <c r="DZ172" s="1008">
        <f t="shared" si="171"/>
        <v>0</v>
      </c>
      <c r="EA172" s="1008">
        <f t="shared" si="171"/>
        <v>0</v>
      </c>
      <c r="EB172" s="1008">
        <f t="shared" si="171"/>
        <v>0</v>
      </c>
      <c r="EC172" s="1008">
        <f t="shared" si="171"/>
        <v>92524043</v>
      </c>
      <c r="ED172" s="1008">
        <f t="shared" si="172"/>
        <v>0</v>
      </c>
    </row>
    <row r="173" spans="1:134" s="203" customFormat="1" ht="36" hidden="1" customHeight="1" x14ac:dyDescent="0.25">
      <c r="A173" s="1560"/>
      <c r="B173" s="989"/>
      <c r="C173" s="1631" t="s">
        <v>4708</v>
      </c>
      <c r="D173" s="1019" t="s">
        <v>4709</v>
      </c>
      <c r="E173" s="989">
        <v>211</v>
      </c>
      <c r="F173" s="1120" t="s">
        <v>4482</v>
      </c>
      <c r="G173" s="1400"/>
      <c r="H173" s="1061">
        <f t="shared" si="143"/>
        <v>0</v>
      </c>
      <c r="I173" s="1061">
        <f t="shared" si="144"/>
        <v>0</v>
      </c>
      <c r="J173" s="1400"/>
      <c r="K173" s="1584"/>
      <c r="L173" s="1573"/>
      <c r="M173" s="1075">
        <v>0</v>
      </c>
      <c r="N173" s="1075">
        <v>0</v>
      </c>
      <c r="O173" s="1075">
        <v>0</v>
      </c>
      <c r="P173" s="1075"/>
      <c r="Q173" s="1075"/>
      <c r="R173" s="1075"/>
      <c r="S173" s="1120"/>
      <c r="T173" s="1120"/>
      <c r="U173" s="1120"/>
      <c r="V173" s="1120"/>
      <c r="W173" s="1120"/>
      <c r="X173" s="1120"/>
      <c r="Y173" s="1067">
        <f t="shared" si="173"/>
        <v>0</v>
      </c>
      <c r="Z173" s="149"/>
      <c r="AA173" s="1067"/>
      <c r="AB173" s="1067"/>
      <c r="AC173" s="1067">
        <f>31000000-31000000</f>
        <v>0</v>
      </c>
      <c r="AD173" s="1067"/>
      <c r="AE173" s="1067"/>
      <c r="AF173" s="1067"/>
      <c r="AG173" s="1067"/>
      <c r="AH173" s="1067"/>
      <c r="AI173" s="1067"/>
      <c r="AJ173" s="1067"/>
      <c r="AK173" s="1067"/>
      <c r="AL173" s="1067"/>
      <c r="AM173" s="1067"/>
      <c r="AN173" s="1067"/>
      <c r="AO173" s="1067"/>
      <c r="AP173" s="1067"/>
      <c r="AQ173" s="1067"/>
      <c r="AR173" s="1067"/>
      <c r="AS173" s="1067"/>
      <c r="AT173" s="1067"/>
      <c r="AU173" s="1082" t="e">
        <f t="shared" si="103"/>
        <v>#DIV/0!</v>
      </c>
      <c r="AV173" s="1067">
        <f t="shared" si="174"/>
        <v>0</v>
      </c>
      <c r="AW173" s="1067"/>
      <c r="AX173" s="1067"/>
      <c r="AY173" s="1067"/>
      <c r="AZ173" s="1067"/>
      <c r="BA173" s="1067"/>
      <c r="BB173" s="1067"/>
      <c r="BC173" s="1067"/>
      <c r="BD173" s="1067"/>
      <c r="BE173" s="1067"/>
      <c r="BF173" s="1067"/>
      <c r="BG173" s="1067"/>
      <c r="BH173" s="1067"/>
      <c r="BI173" s="1067"/>
      <c r="BJ173" s="1067"/>
      <c r="BK173" s="1067"/>
      <c r="BL173" s="1067"/>
      <c r="BM173" s="1067"/>
      <c r="BN173" s="1067"/>
      <c r="BO173" s="1067"/>
      <c r="BP173" s="1067"/>
      <c r="BQ173" s="1082" t="e">
        <f t="shared" si="105"/>
        <v>#DIV/0!</v>
      </c>
      <c r="BR173" s="1067">
        <f t="shared" si="175"/>
        <v>0</v>
      </c>
      <c r="BS173" s="1067"/>
      <c r="BT173" s="1067"/>
      <c r="BU173" s="1067"/>
      <c r="BV173" s="1067">
        <f t="shared" si="162"/>
        <v>0</v>
      </c>
      <c r="BW173" s="1067"/>
      <c r="BX173" s="1067"/>
      <c r="BY173" s="1067"/>
      <c r="BZ173" s="1067"/>
      <c r="CA173" s="1067"/>
      <c r="CB173" s="1067"/>
      <c r="CC173" s="1067"/>
      <c r="CD173" s="1067"/>
      <c r="CE173" s="1067"/>
      <c r="CF173" s="1067"/>
      <c r="CG173" s="1067"/>
      <c r="CH173" s="1067"/>
      <c r="CI173" s="1067"/>
      <c r="CJ173" s="1067"/>
      <c r="CK173" s="1067"/>
      <c r="CL173" s="1067"/>
      <c r="CM173" s="1082" t="e">
        <f t="shared" si="113"/>
        <v>#DIV/0!</v>
      </c>
      <c r="CN173" s="1067">
        <f t="shared" si="176"/>
        <v>0</v>
      </c>
      <c r="CO173" s="1067"/>
      <c r="CP173" s="1067"/>
      <c r="CQ173" s="1067"/>
      <c r="CR173" s="1067"/>
      <c r="CS173" s="1067"/>
      <c r="CT173" s="1067"/>
      <c r="CU173" s="1067"/>
      <c r="CV173" s="1067"/>
      <c r="CW173" s="1067"/>
      <c r="CX173" s="1067"/>
      <c r="CY173" s="1067"/>
      <c r="CZ173" s="1067"/>
      <c r="DA173" s="1067"/>
      <c r="DB173" s="1067"/>
      <c r="DC173" s="1067"/>
      <c r="DD173" s="1067"/>
      <c r="DE173" s="1067"/>
      <c r="DF173" s="1067"/>
      <c r="DG173" s="1067"/>
      <c r="DH173" s="1067"/>
      <c r="DI173" s="1082" t="e">
        <f t="shared" si="115"/>
        <v>#DIV/0!</v>
      </c>
      <c r="DJ173" s="1067">
        <f t="shared" si="177"/>
        <v>0</v>
      </c>
      <c r="DK173" s="1067"/>
      <c r="DL173" s="1067"/>
      <c r="DM173" s="1067"/>
      <c r="DN173" s="1067">
        <f t="shared" si="163"/>
        <v>0</v>
      </c>
      <c r="DO173" s="1067"/>
      <c r="DP173" s="1067"/>
      <c r="DQ173" s="1067"/>
      <c r="DR173" s="1067"/>
      <c r="DS173" s="1067"/>
      <c r="DT173" s="1067"/>
      <c r="DU173" s="1067"/>
      <c r="DV173" s="1067"/>
      <c r="DW173" s="1067"/>
      <c r="DX173" s="1067"/>
      <c r="DY173" s="1067"/>
      <c r="DZ173" s="1067"/>
      <c r="EA173" s="1067"/>
      <c r="EB173" s="1067"/>
      <c r="EC173" s="1067"/>
      <c r="ED173" s="1067"/>
    </row>
    <row r="174" spans="1:134" s="203" customFormat="1" ht="31.5" hidden="1" customHeight="1" x14ac:dyDescent="0.25">
      <c r="A174" s="1560"/>
      <c r="B174" s="989"/>
      <c r="C174" s="1631" t="s">
        <v>4712</v>
      </c>
      <c r="D174" s="1019" t="s">
        <v>4713</v>
      </c>
      <c r="E174" s="989">
        <v>211</v>
      </c>
      <c r="F174" s="1120" t="s">
        <v>4482</v>
      </c>
      <c r="G174" s="1400"/>
      <c r="H174" s="1061">
        <f t="shared" si="143"/>
        <v>0</v>
      </c>
      <c r="I174" s="1061">
        <f t="shared" si="144"/>
        <v>0</v>
      </c>
      <c r="J174" s="1400"/>
      <c r="K174" s="1584"/>
      <c r="L174" s="1573"/>
      <c r="M174" s="1075">
        <v>0</v>
      </c>
      <c r="N174" s="1075">
        <v>0</v>
      </c>
      <c r="O174" s="1075">
        <v>0</v>
      </c>
      <c r="P174" s="1075"/>
      <c r="Q174" s="1075"/>
      <c r="R174" s="1075"/>
      <c r="S174" s="1120"/>
      <c r="T174" s="1120"/>
      <c r="U174" s="1120"/>
      <c r="V174" s="1120"/>
      <c r="W174" s="1120"/>
      <c r="X174" s="1120"/>
      <c r="Y174" s="1067">
        <f t="shared" si="173"/>
        <v>0</v>
      </c>
      <c r="Z174" s="149"/>
      <c r="AA174" s="1067"/>
      <c r="AB174" s="1067"/>
      <c r="AC174" s="1067">
        <f>100000000-100000000</f>
        <v>0</v>
      </c>
      <c r="AD174" s="1067"/>
      <c r="AE174" s="1067"/>
      <c r="AF174" s="1067"/>
      <c r="AG174" s="1067"/>
      <c r="AH174" s="1067"/>
      <c r="AI174" s="1067"/>
      <c r="AJ174" s="1067"/>
      <c r="AK174" s="1067"/>
      <c r="AL174" s="1067"/>
      <c r="AM174" s="1067"/>
      <c r="AN174" s="1067"/>
      <c r="AO174" s="1067"/>
      <c r="AP174" s="1067"/>
      <c r="AQ174" s="1067"/>
      <c r="AR174" s="1067"/>
      <c r="AS174" s="1067"/>
      <c r="AT174" s="1067"/>
      <c r="AU174" s="1082" t="e">
        <f t="shared" si="103"/>
        <v>#DIV/0!</v>
      </c>
      <c r="AV174" s="1067">
        <f t="shared" si="174"/>
        <v>0</v>
      </c>
      <c r="AW174" s="1067"/>
      <c r="AX174" s="1067"/>
      <c r="AY174" s="1067"/>
      <c r="AZ174" s="1067"/>
      <c r="BA174" s="1067"/>
      <c r="BB174" s="1067"/>
      <c r="BC174" s="1067"/>
      <c r="BD174" s="1067"/>
      <c r="BE174" s="1067"/>
      <c r="BF174" s="1067"/>
      <c r="BG174" s="1067"/>
      <c r="BH174" s="1067"/>
      <c r="BI174" s="1067"/>
      <c r="BJ174" s="1067"/>
      <c r="BK174" s="1067"/>
      <c r="BL174" s="1067"/>
      <c r="BM174" s="1067"/>
      <c r="BN174" s="1067"/>
      <c r="BO174" s="1067"/>
      <c r="BP174" s="1067"/>
      <c r="BQ174" s="1082" t="e">
        <f t="shared" si="105"/>
        <v>#DIV/0!</v>
      </c>
      <c r="BR174" s="1067">
        <f t="shared" si="175"/>
        <v>0</v>
      </c>
      <c r="BS174" s="1067"/>
      <c r="BT174" s="1067"/>
      <c r="BU174" s="1067"/>
      <c r="BV174" s="1067">
        <f t="shared" si="162"/>
        <v>0</v>
      </c>
      <c r="BW174" s="1067"/>
      <c r="BX174" s="1067"/>
      <c r="BY174" s="1067"/>
      <c r="BZ174" s="1067"/>
      <c r="CA174" s="1067"/>
      <c r="CB174" s="1067"/>
      <c r="CC174" s="1067"/>
      <c r="CD174" s="1067"/>
      <c r="CE174" s="1067"/>
      <c r="CF174" s="1067"/>
      <c r="CG174" s="1067"/>
      <c r="CH174" s="1067"/>
      <c r="CI174" s="1067"/>
      <c r="CJ174" s="1067"/>
      <c r="CK174" s="1067"/>
      <c r="CL174" s="1067"/>
      <c r="CM174" s="1082" t="e">
        <f t="shared" si="113"/>
        <v>#DIV/0!</v>
      </c>
      <c r="CN174" s="1067">
        <f t="shared" si="176"/>
        <v>0</v>
      </c>
      <c r="CO174" s="1067"/>
      <c r="CP174" s="1067"/>
      <c r="CQ174" s="1067"/>
      <c r="CR174" s="1067"/>
      <c r="CS174" s="1067"/>
      <c r="CT174" s="1067"/>
      <c r="CU174" s="1067"/>
      <c r="CV174" s="1067"/>
      <c r="CW174" s="1067"/>
      <c r="CX174" s="1067"/>
      <c r="CY174" s="1067"/>
      <c r="CZ174" s="1067"/>
      <c r="DA174" s="1067"/>
      <c r="DB174" s="1067"/>
      <c r="DC174" s="1067"/>
      <c r="DD174" s="1067"/>
      <c r="DE174" s="1067"/>
      <c r="DF174" s="1067"/>
      <c r="DG174" s="1067"/>
      <c r="DH174" s="1067"/>
      <c r="DI174" s="1082" t="e">
        <f t="shared" si="115"/>
        <v>#DIV/0!</v>
      </c>
      <c r="DJ174" s="1067">
        <f t="shared" si="177"/>
        <v>0</v>
      </c>
      <c r="DK174" s="1067"/>
      <c r="DL174" s="1067"/>
      <c r="DM174" s="1067"/>
      <c r="DN174" s="1067">
        <f t="shared" si="163"/>
        <v>0</v>
      </c>
      <c r="DO174" s="1067"/>
      <c r="DP174" s="1067"/>
      <c r="DQ174" s="1067"/>
      <c r="DR174" s="1067"/>
      <c r="DS174" s="1067"/>
      <c r="DT174" s="1067"/>
      <c r="DU174" s="1067"/>
      <c r="DV174" s="1067"/>
      <c r="DW174" s="1067"/>
      <c r="DX174" s="1067"/>
      <c r="DY174" s="1067"/>
      <c r="DZ174" s="1067"/>
      <c r="EA174" s="1067"/>
      <c r="EB174" s="1067"/>
      <c r="EC174" s="1067"/>
      <c r="ED174" s="1067"/>
    </row>
    <row r="175" spans="1:134" s="203" customFormat="1" ht="24" hidden="1" customHeight="1" x14ac:dyDescent="0.25">
      <c r="A175" s="1560"/>
      <c r="B175" s="989"/>
      <c r="C175" s="1631" t="s">
        <v>4717</v>
      </c>
      <c r="D175" s="1019" t="s">
        <v>4722</v>
      </c>
      <c r="E175" s="989">
        <v>211</v>
      </c>
      <c r="F175" s="1120" t="s">
        <v>4482</v>
      </c>
      <c r="G175" s="1401"/>
      <c r="H175" s="1061">
        <f t="shared" si="143"/>
        <v>0</v>
      </c>
      <c r="I175" s="1061">
        <f t="shared" si="144"/>
        <v>0</v>
      </c>
      <c r="J175" s="1401"/>
      <c r="K175" s="1585"/>
      <c r="L175" s="1284"/>
      <c r="M175" s="1075"/>
      <c r="N175" s="1075"/>
      <c r="O175" s="1075"/>
      <c r="P175" s="1075">
        <v>0</v>
      </c>
      <c r="Q175" s="1075">
        <v>0</v>
      </c>
      <c r="R175" s="1075">
        <v>0</v>
      </c>
      <c r="S175" s="1120"/>
      <c r="T175" s="1120"/>
      <c r="U175" s="1120"/>
      <c r="V175" s="1120"/>
      <c r="W175" s="1120"/>
      <c r="X175" s="1120"/>
      <c r="Y175" s="1067">
        <f t="shared" si="173"/>
        <v>0</v>
      </c>
      <c r="Z175" s="149"/>
      <c r="AA175" s="1067"/>
      <c r="AB175" s="1067"/>
      <c r="AC175" s="1067">
        <f>1000000000-710000000-290000000</f>
        <v>0</v>
      </c>
      <c r="AD175" s="1067"/>
      <c r="AE175" s="1067"/>
      <c r="AF175" s="1067"/>
      <c r="AG175" s="1067"/>
      <c r="AH175" s="1067"/>
      <c r="AI175" s="1067"/>
      <c r="AJ175" s="1067"/>
      <c r="AK175" s="1067"/>
      <c r="AL175" s="1067"/>
      <c r="AM175" s="1067"/>
      <c r="AN175" s="1067"/>
      <c r="AO175" s="1067"/>
      <c r="AP175" s="1067"/>
      <c r="AQ175" s="1067"/>
      <c r="AR175" s="1067"/>
      <c r="AS175" s="1067"/>
      <c r="AT175" s="1067"/>
      <c r="AU175" s="1082"/>
      <c r="AV175" s="1067">
        <f t="shared" si="174"/>
        <v>0</v>
      </c>
      <c r="AW175" s="1067"/>
      <c r="AX175" s="1067"/>
      <c r="AY175" s="1067"/>
      <c r="AZ175" s="1067"/>
      <c r="BA175" s="1067"/>
      <c r="BB175" s="1067"/>
      <c r="BC175" s="1067"/>
      <c r="BD175" s="1067"/>
      <c r="BE175" s="1067"/>
      <c r="BF175" s="1067"/>
      <c r="BG175" s="1067"/>
      <c r="BH175" s="1067"/>
      <c r="BI175" s="1067"/>
      <c r="BJ175" s="1067"/>
      <c r="BK175" s="1067"/>
      <c r="BL175" s="1067"/>
      <c r="BM175" s="1067"/>
      <c r="BN175" s="1067"/>
      <c r="BO175" s="1067"/>
      <c r="BP175" s="1067"/>
      <c r="BQ175" s="1082"/>
      <c r="BR175" s="1067">
        <f t="shared" si="175"/>
        <v>0</v>
      </c>
      <c r="BS175" s="1067"/>
      <c r="BT175" s="1067"/>
      <c r="BU175" s="1067"/>
      <c r="BV175" s="1067">
        <f t="shared" si="162"/>
        <v>0</v>
      </c>
      <c r="BW175" s="1067"/>
      <c r="BX175" s="1067"/>
      <c r="BY175" s="1067"/>
      <c r="BZ175" s="1067"/>
      <c r="CA175" s="1067"/>
      <c r="CB175" s="1067"/>
      <c r="CC175" s="1067"/>
      <c r="CD175" s="1067"/>
      <c r="CE175" s="1067"/>
      <c r="CF175" s="1067"/>
      <c r="CG175" s="1067"/>
      <c r="CH175" s="1067"/>
      <c r="CI175" s="1067"/>
      <c r="CJ175" s="1067"/>
      <c r="CK175" s="1067"/>
      <c r="CL175" s="1067"/>
      <c r="CM175" s="1082" t="e">
        <f t="shared" si="113"/>
        <v>#DIV/0!</v>
      </c>
      <c r="CN175" s="1067">
        <f t="shared" si="176"/>
        <v>0</v>
      </c>
      <c r="CO175" s="1067"/>
      <c r="CP175" s="1067"/>
      <c r="CQ175" s="1067"/>
      <c r="CR175" s="1067"/>
      <c r="CS175" s="1067"/>
      <c r="CT175" s="1067"/>
      <c r="CU175" s="1067"/>
      <c r="CV175" s="1067"/>
      <c r="CW175" s="1067"/>
      <c r="CX175" s="1067"/>
      <c r="CY175" s="1067"/>
      <c r="CZ175" s="1067"/>
      <c r="DA175" s="1067"/>
      <c r="DB175" s="1067"/>
      <c r="DC175" s="1067"/>
      <c r="DD175" s="1067"/>
      <c r="DE175" s="1067"/>
      <c r="DF175" s="1067"/>
      <c r="DG175" s="1067"/>
      <c r="DH175" s="1067"/>
      <c r="DI175" s="1082"/>
      <c r="DJ175" s="1067">
        <f t="shared" si="177"/>
        <v>0</v>
      </c>
      <c r="DK175" s="1067"/>
      <c r="DL175" s="1067"/>
      <c r="DM175" s="1067"/>
      <c r="DN175" s="1067">
        <f t="shared" si="163"/>
        <v>0</v>
      </c>
      <c r="DO175" s="1067"/>
      <c r="DP175" s="1067"/>
      <c r="DQ175" s="1067"/>
      <c r="DR175" s="1067"/>
      <c r="DS175" s="1067"/>
      <c r="DT175" s="1067"/>
      <c r="DU175" s="1067"/>
      <c r="DV175" s="1067"/>
      <c r="DW175" s="1067"/>
      <c r="DX175" s="1067"/>
      <c r="DY175" s="1067"/>
      <c r="DZ175" s="1067"/>
      <c r="EA175" s="1067"/>
      <c r="EB175" s="1067"/>
      <c r="EC175" s="1067"/>
      <c r="ED175" s="1067"/>
    </row>
    <row r="176" spans="1:134" ht="47.25" hidden="1" customHeight="1" x14ac:dyDescent="0.25">
      <c r="A176" s="1560"/>
      <c r="B176" s="989" t="s">
        <v>4451</v>
      </c>
      <c r="C176" s="1635" t="s">
        <v>4534</v>
      </c>
      <c r="D176" s="1019" t="s">
        <v>4538</v>
      </c>
      <c r="E176" s="994">
        <v>510</v>
      </c>
      <c r="F176" s="1120" t="s">
        <v>4536</v>
      </c>
      <c r="G176" s="1399">
        <v>260000000</v>
      </c>
      <c r="H176" s="1061">
        <f t="shared" si="143"/>
        <v>83465123</v>
      </c>
      <c r="I176" s="1061">
        <f t="shared" si="144"/>
        <v>3034877</v>
      </c>
      <c r="J176" s="1587">
        <v>1</v>
      </c>
      <c r="K176" s="1583">
        <v>1</v>
      </c>
      <c r="L176" s="1283">
        <v>100</v>
      </c>
      <c r="M176" s="1115">
        <v>63</v>
      </c>
      <c r="N176" s="1115">
        <v>30</v>
      </c>
      <c r="O176" s="1115">
        <v>19</v>
      </c>
      <c r="P176" s="1115">
        <v>58</v>
      </c>
      <c r="Q176" s="1115">
        <v>50</v>
      </c>
      <c r="R176" s="1115">
        <v>29</v>
      </c>
      <c r="S176" s="1120"/>
      <c r="T176" s="1120"/>
      <c r="U176" s="1120"/>
      <c r="V176" s="1120"/>
      <c r="W176" s="1120"/>
      <c r="X176" s="1120"/>
      <c r="Y176" s="1008">
        <f t="shared" si="173"/>
        <v>86500000</v>
      </c>
      <c r="Z176" s="944"/>
      <c r="AA176" s="1008"/>
      <c r="AB176" s="1008"/>
      <c r="AC176" s="1008"/>
      <c r="AD176" s="1008"/>
      <c r="AE176" s="1008">
        <f>85000000-16000000+16000000</f>
        <v>85000000</v>
      </c>
      <c r="AF176" s="1008"/>
      <c r="AG176" s="1008"/>
      <c r="AH176" s="1008"/>
      <c r="AI176" s="1008"/>
      <c r="AJ176" s="1008"/>
      <c r="AK176" s="1008"/>
      <c r="AL176" s="1008"/>
      <c r="AM176" s="1008"/>
      <c r="AN176" s="1008"/>
      <c r="AO176" s="1008">
        <v>1500000</v>
      </c>
      <c r="AP176" s="1008"/>
      <c r="AQ176" s="1008"/>
      <c r="AR176" s="1008"/>
      <c r="AS176" s="1008"/>
      <c r="AT176" s="1008"/>
      <c r="AU176" s="1011">
        <f t="shared" ref="AU176:AU194" si="180">+AV176/Y176</f>
        <v>1</v>
      </c>
      <c r="AV176" s="1008">
        <f t="shared" si="174"/>
        <v>86500000</v>
      </c>
      <c r="AW176" s="1008"/>
      <c r="AX176" s="1008"/>
      <c r="AY176" s="1008"/>
      <c r="AZ176" s="1008"/>
      <c r="BA176" s="1008"/>
      <c r="BB176" s="1008">
        <f>+'[14]JUNIO 2015'!$O$1705</f>
        <v>85000000</v>
      </c>
      <c r="BC176" s="1008"/>
      <c r="BD176" s="1008"/>
      <c r="BE176" s="1008"/>
      <c r="BF176" s="1008"/>
      <c r="BG176" s="1008"/>
      <c r="BH176" s="1008"/>
      <c r="BI176" s="1008"/>
      <c r="BJ176" s="1008"/>
      <c r="BK176" s="1008"/>
      <c r="BL176" s="1008">
        <f>+'[14]JUNIO 2015'!$Y$1705</f>
        <v>1500000</v>
      </c>
      <c r="BM176" s="1008"/>
      <c r="BN176" s="1008"/>
      <c r="BO176" s="1008"/>
      <c r="BP176" s="1008"/>
      <c r="BQ176" s="1011">
        <f t="shared" ref="BQ176:BQ194" si="181">1-AU176</f>
        <v>0</v>
      </c>
      <c r="BR176" s="1008">
        <f t="shared" si="175"/>
        <v>0</v>
      </c>
      <c r="BS176" s="1008">
        <f t="shared" ref="BS176:BS193" si="182">+Z176-AW176</f>
        <v>0</v>
      </c>
      <c r="BT176" s="1008">
        <f t="shared" ref="BT176:BT193" si="183">AA176-AX176</f>
        <v>0</v>
      </c>
      <c r="BU176" s="1008"/>
      <c r="BV176" s="1008">
        <f t="shared" si="162"/>
        <v>0</v>
      </c>
      <c r="BW176" s="1008">
        <f t="shared" si="162"/>
        <v>0</v>
      </c>
      <c r="BX176" s="1008">
        <f t="shared" ref="BX176:BY193" si="184">+AE176-BB176</f>
        <v>0</v>
      </c>
      <c r="BY176" s="1008">
        <f t="shared" si="184"/>
        <v>0</v>
      </c>
      <c r="BZ176" s="1008"/>
      <c r="CA176" s="1008">
        <f t="shared" ref="CA176:CI193" si="185">+AH176-BE176</f>
        <v>0</v>
      </c>
      <c r="CB176" s="1008">
        <f t="shared" si="185"/>
        <v>0</v>
      </c>
      <c r="CC176" s="1008">
        <f t="shared" si="185"/>
        <v>0</v>
      </c>
      <c r="CD176" s="1008">
        <f t="shared" si="185"/>
        <v>0</v>
      </c>
      <c r="CE176" s="1008">
        <f t="shared" si="185"/>
        <v>0</v>
      </c>
      <c r="CF176" s="1008">
        <f t="shared" si="185"/>
        <v>0</v>
      </c>
      <c r="CG176" s="1008">
        <f t="shared" si="185"/>
        <v>0</v>
      </c>
      <c r="CH176" s="1008">
        <f t="shared" si="185"/>
        <v>0</v>
      </c>
      <c r="CI176" s="1008">
        <f t="shared" si="185"/>
        <v>0</v>
      </c>
      <c r="CJ176" s="1008"/>
      <c r="CK176" s="1008">
        <f t="shared" ref="CK176:CL191" si="186">+AR176-BO176</f>
        <v>0</v>
      </c>
      <c r="CL176" s="1008">
        <f t="shared" si="186"/>
        <v>0</v>
      </c>
      <c r="CM176" s="1011">
        <f t="shared" ref="CM176:CM194" si="187">+CN176/Y176</f>
        <v>0.96491471676300578</v>
      </c>
      <c r="CN176" s="1008">
        <f t="shared" si="176"/>
        <v>83465123</v>
      </c>
      <c r="CO176" s="1008"/>
      <c r="CP176" s="1008"/>
      <c r="CQ176" s="1008"/>
      <c r="CR176" s="1008"/>
      <c r="CS176" s="1008"/>
      <c r="CT176" s="1008">
        <f>+'[15]JULIO 2015'!$H$1989+'[15]JULIO 2015'!$H$1995+'[15]JULIO 2015'!$H$1997</f>
        <v>83465123</v>
      </c>
      <c r="CU176" s="1008"/>
      <c r="CV176" s="1008"/>
      <c r="CW176" s="1008"/>
      <c r="CX176" s="1008"/>
      <c r="CY176" s="1008"/>
      <c r="CZ176" s="1008"/>
      <c r="DA176" s="1008"/>
      <c r="DB176" s="1008"/>
      <c r="DC176" s="1008"/>
      <c r="DD176" s="1008"/>
      <c r="DE176" s="1008"/>
      <c r="DF176" s="1008"/>
      <c r="DG176" s="1008"/>
      <c r="DH176" s="1008"/>
      <c r="DI176" s="1011">
        <f t="shared" ref="DI176:DI194" si="188">1-CM176</f>
        <v>3.5085283236994225E-2</v>
      </c>
      <c r="DJ176" s="1008">
        <f t="shared" si="177"/>
        <v>3034877</v>
      </c>
      <c r="DK176" s="1008"/>
      <c r="DL176" s="1008">
        <f>AA176-CP176</f>
        <v>0</v>
      </c>
      <c r="DM176" s="1008"/>
      <c r="DN176" s="1008">
        <f t="shared" si="163"/>
        <v>0</v>
      </c>
      <c r="DO176" s="1008">
        <f t="shared" si="163"/>
        <v>0</v>
      </c>
      <c r="DP176" s="1008">
        <f t="shared" si="163"/>
        <v>1534877</v>
      </c>
      <c r="DQ176" s="1008">
        <f t="shared" si="163"/>
        <v>0</v>
      </c>
      <c r="DR176" s="1008"/>
      <c r="DS176" s="1008">
        <f t="shared" ref="DS176:DT193" si="189">+AH176-CW176</f>
        <v>0</v>
      </c>
      <c r="DT176" s="1008">
        <f t="shared" si="189"/>
        <v>0</v>
      </c>
      <c r="DU176" s="1008"/>
      <c r="DV176" s="1008">
        <f t="shared" ref="DV176:DX193" si="190">AK176-CZ176</f>
        <v>0</v>
      </c>
      <c r="DW176" s="1008">
        <f t="shared" si="190"/>
        <v>0</v>
      </c>
      <c r="DX176" s="1008">
        <f t="shared" si="190"/>
        <v>0</v>
      </c>
      <c r="DY176" s="1008">
        <f t="shared" ref="DY176:ED193" si="191">+AN176-DC176</f>
        <v>0</v>
      </c>
      <c r="DZ176" s="1008">
        <f t="shared" si="191"/>
        <v>1500000</v>
      </c>
      <c r="EA176" s="1008">
        <f t="shared" si="191"/>
        <v>0</v>
      </c>
      <c r="EB176" s="1008">
        <f t="shared" si="191"/>
        <v>0</v>
      </c>
      <c r="EC176" s="1008">
        <f t="shared" si="191"/>
        <v>0</v>
      </c>
      <c r="ED176" s="1008">
        <f t="shared" si="191"/>
        <v>0</v>
      </c>
    </row>
    <row r="177" spans="1:134" ht="50.25" hidden="1" customHeight="1" x14ac:dyDescent="0.25">
      <c r="A177" s="1560"/>
      <c r="B177" s="989"/>
      <c r="C177" s="1635" t="s">
        <v>4540</v>
      </c>
      <c r="D177" s="1019" t="s">
        <v>4539</v>
      </c>
      <c r="E177" s="994">
        <v>510</v>
      </c>
      <c r="F177" s="1120" t="s">
        <v>4536</v>
      </c>
      <c r="G177" s="1400"/>
      <c r="H177" s="1061">
        <f t="shared" si="143"/>
        <v>6147669</v>
      </c>
      <c r="I177" s="1061">
        <f t="shared" si="144"/>
        <v>3852331</v>
      </c>
      <c r="J177" s="1588"/>
      <c r="K177" s="1584"/>
      <c r="L177" s="1573"/>
      <c r="M177" s="1115">
        <v>0</v>
      </c>
      <c r="N177" s="1115">
        <v>14</v>
      </c>
      <c r="O177" s="1115">
        <v>0</v>
      </c>
      <c r="P177" s="1115">
        <v>0</v>
      </c>
      <c r="Q177" s="1115">
        <v>35</v>
      </c>
      <c r="R177" s="1115">
        <v>0</v>
      </c>
      <c r="S177" s="1120"/>
      <c r="T177" s="1120"/>
      <c r="U177" s="1120"/>
      <c r="V177" s="1120"/>
      <c r="W177" s="1120"/>
      <c r="X177" s="1120"/>
      <c r="Y177" s="1008">
        <f t="shared" si="173"/>
        <v>10000000</v>
      </c>
      <c r="Z177" s="944"/>
      <c r="AA177" s="1008"/>
      <c r="AB177" s="1008"/>
      <c r="AC177" s="1008">
        <f>16000000-16000000</f>
        <v>0</v>
      </c>
      <c r="AD177" s="1008"/>
      <c r="AE177" s="1008">
        <f>16000000-16000000</f>
        <v>0</v>
      </c>
      <c r="AF177" s="1008"/>
      <c r="AG177" s="1008"/>
      <c r="AH177" s="1008"/>
      <c r="AI177" s="1008"/>
      <c r="AJ177" s="1008"/>
      <c r="AK177" s="1008"/>
      <c r="AL177" s="1008"/>
      <c r="AM177" s="1008"/>
      <c r="AN177" s="1008"/>
      <c r="AO177" s="1008">
        <v>10000000</v>
      </c>
      <c r="AP177" s="1008"/>
      <c r="AQ177" s="1008"/>
      <c r="AR177" s="1008"/>
      <c r="AS177" s="1008"/>
      <c r="AU177" s="1011">
        <f t="shared" si="180"/>
        <v>0.90276690000000004</v>
      </c>
      <c r="AV177" s="1008">
        <f t="shared" si="174"/>
        <v>9027669</v>
      </c>
      <c r="AW177" s="1008"/>
      <c r="AX177" s="1008"/>
      <c r="AY177" s="1008"/>
      <c r="AZ177" s="1008"/>
      <c r="BA177" s="1008"/>
      <c r="BB177" s="1008"/>
      <c r="BC177" s="1008"/>
      <c r="BD177" s="1008"/>
      <c r="BE177" s="1008"/>
      <c r="BF177" s="1008"/>
      <c r="BG177" s="1008"/>
      <c r="BH177" s="1008"/>
      <c r="BI177" s="1008"/>
      <c r="BJ177" s="1008"/>
      <c r="BK177" s="1008"/>
      <c r="BL177" s="1008">
        <f>+'[18]OCTUBRE 2015'!$Y$3191</f>
        <v>9027669</v>
      </c>
      <c r="BM177" s="1008"/>
      <c r="BN177" s="1008"/>
      <c r="BO177" s="1008"/>
      <c r="BP177" s="1008"/>
      <c r="BQ177" s="1011">
        <f t="shared" si="181"/>
        <v>9.7233099999999961E-2</v>
      </c>
      <c r="BR177" s="1008">
        <f t="shared" si="175"/>
        <v>972331</v>
      </c>
      <c r="BS177" s="1008">
        <f t="shared" si="182"/>
        <v>0</v>
      </c>
      <c r="BT177" s="1008">
        <f t="shared" si="183"/>
        <v>0</v>
      </c>
      <c r="BU177" s="1008"/>
      <c r="BV177" s="1008">
        <f t="shared" si="162"/>
        <v>0</v>
      </c>
      <c r="BW177" s="1008">
        <f t="shared" si="162"/>
        <v>0</v>
      </c>
      <c r="BX177" s="1008">
        <f t="shared" si="184"/>
        <v>0</v>
      </c>
      <c r="BY177" s="1008">
        <f t="shared" si="184"/>
        <v>0</v>
      </c>
      <c r="BZ177" s="1008"/>
      <c r="CA177" s="1008">
        <f t="shared" si="185"/>
        <v>0</v>
      </c>
      <c r="CB177" s="1008">
        <f t="shared" si="185"/>
        <v>0</v>
      </c>
      <c r="CC177" s="1008">
        <f t="shared" si="185"/>
        <v>0</v>
      </c>
      <c r="CD177" s="1008">
        <f t="shared" si="185"/>
        <v>0</v>
      </c>
      <c r="CE177" s="1008">
        <f t="shared" si="185"/>
        <v>0</v>
      </c>
      <c r="CF177" s="1008">
        <f t="shared" si="185"/>
        <v>0</v>
      </c>
      <c r="CG177" s="1008">
        <f t="shared" si="185"/>
        <v>0</v>
      </c>
      <c r="CH177" s="1008">
        <f t="shared" si="185"/>
        <v>972331</v>
      </c>
      <c r="CI177" s="1008">
        <f t="shared" si="185"/>
        <v>0</v>
      </c>
      <c r="CJ177" s="1008"/>
      <c r="CK177" s="1008">
        <f t="shared" si="186"/>
        <v>0</v>
      </c>
      <c r="CL177" s="1008">
        <f t="shared" si="186"/>
        <v>0</v>
      </c>
      <c r="CM177" s="1011">
        <f t="shared" si="187"/>
        <v>0.61476690000000001</v>
      </c>
      <c r="CN177" s="1008">
        <f t="shared" si="176"/>
        <v>6147669</v>
      </c>
      <c r="CO177" s="1008"/>
      <c r="CP177" s="1008"/>
      <c r="CQ177" s="1008"/>
      <c r="CR177" s="1008"/>
      <c r="CS177" s="1008"/>
      <c r="CT177" s="1008"/>
      <c r="CU177" s="1008"/>
      <c r="CV177" s="1008"/>
      <c r="CW177" s="1008"/>
      <c r="CX177" s="1008"/>
      <c r="CY177" s="1008"/>
      <c r="CZ177" s="1008"/>
      <c r="DA177" s="1008"/>
      <c r="DB177" s="1008"/>
      <c r="DC177" s="1008"/>
      <c r="DD177" s="1008">
        <f>+'[18]OCTUBRE 2015'!$H$3189</f>
        <v>6147669</v>
      </c>
      <c r="DE177" s="1008"/>
      <c r="DF177" s="1008"/>
      <c r="DG177" s="1008"/>
      <c r="DH177" s="1008"/>
      <c r="DI177" s="1011">
        <f t="shared" si="188"/>
        <v>0.38523309999999999</v>
      </c>
      <c r="DJ177" s="1008">
        <f t="shared" si="177"/>
        <v>3852331</v>
      </c>
      <c r="DK177" s="1008"/>
      <c r="DL177" s="1008"/>
      <c r="DM177" s="1008"/>
      <c r="DN177" s="1008">
        <f t="shared" si="163"/>
        <v>0</v>
      </c>
      <c r="DO177" s="1008">
        <f t="shared" si="163"/>
        <v>0</v>
      </c>
      <c r="DP177" s="1008">
        <f t="shared" si="163"/>
        <v>0</v>
      </c>
      <c r="DQ177" s="1008">
        <f t="shared" si="163"/>
        <v>0</v>
      </c>
      <c r="DR177" s="1008"/>
      <c r="DS177" s="1008">
        <f t="shared" si="189"/>
        <v>0</v>
      </c>
      <c r="DT177" s="1008">
        <f t="shared" si="189"/>
        <v>0</v>
      </c>
      <c r="DU177" s="1008"/>
      <c r="DV177" s="1008">
        <f t="shared" si="190"/>
        <v>0</v>
      </c>
      <c r="DW177" s="1008">
        <f t="shared" si="190"/>
        <v>0</v>
      </c>
      <c r="DX177" s="1008">
        <f t="shared" si="190"/>
        <v>0</v>
      </c>
      <c r="DY177" s="1008">
        <f t="shared" si="191"/>
        <v>0</v>
      </c>
      <c r="DZ177" s="1008">
        <f t="shared" si="191"/>
        <v>3852331</v>
      </c>
      <c r="EA177" s="1008">
        <f t="shared" si="191"/>
        <v>0</v>
      </c>
      <c r="EB177" s="1008">
        <f t="shared" si="191"/>
        <v>0</v>
      </c>
      <c r="EC177" s="1008">
        <f t="shared" si="191"/>
        <v>0</v>
      </c>
      <c r="ED177" s="1008">
        <f t="shared" si="191"/>
        <v>0</v>
      </c>
    </row>
    <row r="178" spans="1:134" ht="41.25" hidden="1" customHeight="1" x14ac:dyDescent="0.25">
      <c r="A178" s="1560"/>
      <c r="B178" s="989"/>
      <c r="C178" s="1635" t="s">
        <v>4541</v>
      </c>
      <c r="D178" s="1019" t="s">
        <v>4696</v>
      </c>
      <c r="E178" s="994">
        <v>510</v>
      </c>
      <c r="F178" s="1120" t="s">
        <v>4669</v>
      </c>
      <c r="G178" s="1400"/>
      <c r="H178" s="1061">
        <f t="shared" si="143"/>
        <v>0</v>
      </c>
      <c r="I178" s="1061">
        <f t="shared" si="144"/>
        <v>8000000</v>
      </c>
      <c r="J178" s="1588"/>
      <c r="K178" s="1584"/>
      <c r="L178" s="1573"/>
      <c r="M178" s="1115">
        <v>0</v>
      </c>
      <c r="N178" s="1115">
        <v>0</v>
      </c>
      <c r="O178" s="1115">
        <v>0</v>
      </c>
      <c r="P178" s="1115">
        <v>0</v>
      </c>
      <c r="Q178" s="1115">
        <v>55</v>
      </c>
      <c r="R178" s="1115">
        <v>0</v>
      </c>
      <c r="S178" s="1120"/>
      <c r="T178" s="1120"/>
      <c r="U178" s="1120"/>
      <c r="V178" s="1120"/>
      <c r="W178" s="1120"/>
      <c r="X178" s="1120"/>
      <c r="Y178" s="1008">
        <f t="shared" si="173"/>
        <v>8000000</v>
      </c>
      <c r="Z178" s="944"/>
      <c r="AA178" s="1008"/>
      <c r="AB178" s="1008"/>
      <c r="AC178" s="1008"/>
      <c r="AD178" s="1008"/>
      <c r="AE178" s="1008">
        <v>8000000</v>
      </c>
      <c r="AF178" s="1008"/>
      <c r="AG178" s="1008"/>
      <c r="AH178" s="1008"/>
      <c r="AI178" s="1008"/>
      <c r="AJ178" s="1008"/>
      <c r="AK178" s="1008"/>
      <c r="AL178" s="1008"/>
      <c r="AM178" s="1008"/>
      <c r="AN178" s="1008"/>
      <c r="AO178" s="1008"/>
      <c r="AP178" s="1008"/>
      <c r="AQ178" s="1008"/>
      <c r="AR178" s="1008"/>
      <c r="AS178" s="1008"/>
      <c r="AU178" s="1011">
        <f t="shared" si="180"/>
        <v>0</v>
      </c>
      <c r="AV178" s="1008">
        <f t="shared" si="174"/>
        <v>0</v>
      </c>
      <c r="AW178" s="1008"/>
      <c r="AX178" s="1008"/>
      <c r="AY178" s="1008"/>
      <c r="AZ178" s="1008"/>
      <c r="BA178" s="1008"/>
      <c r="BB178" s="1008"/>
      <c r="BC178" s="1008"/>
      <c r="BD178" s="1008"/>
      <c r="BE178" s="1008"/>
      <c r="BF178" s="1008"/>
      <c r="BG178" s="1008"/>
      <c r="BH178" s="1008"/>
      <c r="BI178" s="1008"/>
      <c r="BJ178" s="1008"/>
      <c r="BK178" s="1008"/>
      <c r="BL178" s="1008"/>
      <c r="BM178" s="1008"/>
      <c r="BN178" s="1008"/>
      <c r="BO178" s="1008"/>
      <c r="BP178" s="1008"/>
      <c r="BQ178" s="1011">
        <f t="shared" si="181"/>
        <v>1</v>
      </c>
      <c r="BR178" s="1008">
        <f t="shared" si="175"/>
        <v>8000000</v>
      </c>
      <c r="BS178" s="1008">
        <f t="shared" si="182"/>
        <v>0</v>
      </c>
      <c r="BT178" s="1008">
        <f t="shared" si="183"/>
        <v>0</v>
      </c>
      <c r="BU178" s="1008"/>
      <c r="BV178" s="1008">
        <f t="shared" si="162"/>
        <v>0</v>
      </c>
      <c r="BW178" s="1008">
        <f t="shared" si="162"/>
        <v>0</v>
      </c>
      <c r="BX178" s="1008">
        <f t="shared" si="184"/>
        <v>8000000</v>
      </c>
      <c r="BY178" s="1008">
        <f t="shared" si="184"/>
        <v>0</v>
      </c>
      <c r="BZ178" s="1008"/>
      <c r="CA178" s="1008">
        <f t="shared" si="185"/>
        <v>0</v>
      </c>
      <c r="CB178" s="1008">
        <f t="shared" si="185"/>
        <v>0</v>
      </c>
      <c r="CC178" s="1008">
        <f t="shared" si="185"/>
        <v>0</v>
      </c>
      <c r="CD178" s="1008">
        <f t="shared" si="185"/>
        <v>0</v>
      </c>
      <c r="CE178" s="1008">
        <f t="shared" si="185"/>
        <v>0</v>
      </c>
      <c r="CF178" s="1008">
        <f t="shared" si="185"/>
        <v>0</v>
      </c>
      <c r="CG178" s="1008">
        <f t="shared" si="185"/>
        <v>0</v>
      </c>
      <c r="CH178" s="1008">
        <f t="shared" si="185"/>
        <v>0</v>
      </c>
      <c r="CI178" s="1008">
        <f t="shared" si="185"/>
        <v>0</v>
      </c>
      <c r="CJ178" s="1008"/>
      <c r="CK178" s="1008">
        <f t="shared" si="186"/>
        <v>0</v>
      </c>
      <c r="CL178" s="1008">
        <f t="shared" si="186"/>
        <v>0</v>
      </c>
      <c r="CM178" s="1011">
        <f t="shared" si="187"/>
        <v>0</v>
      </c>
      <c r="CN178" s="1008">
        <f t="shared" si="176"/>
        <v>0</v>
      </c>
      <c r="CO178" s="1008"/>
      <c r="CP178" s="1008"/>
      <c r="CQ178" s="1008"/>
      <c r="CR178" s="1008"/>
      <c r="CS178" s="1008"/>
      <c r="CT178" s="1008"/>
      <c r="CU178" s="1008"/>
      <c r="CV178" s="1008"/>
      <c r="CW178" s="1008"/>
      <c r="CX178" s="1008"/>
      <c r="CY178" s="1008"/>
      <c r="CZ178" s="1008"/>
      <c r="DA178" s="1008"/>
      <c r="DB178" s="1008"/>
      <c r="DC178" s="1008"/>
      <c r="DD178" s="1008"/>
      <c r="DE178" s="1008"/>
      <c r="DF178" s="1008"/>
      <c r="DG178" s="1008"/>
      <c r="DH178" s="1008"/>
      <c r="DI178" s="1011">
        <f t="shared" si="188"/>
        <v>1</v>
      </c>
      <c r="DJ178" s="1008">
        <f t="shared" si="177"/>
        <v>8000000</v>
      </c>
      <c r="DK178" s="1008"/>
      <c r="DL178" s="1008"/>
      <c r="DM178" s="1008"/>
      <c r="DN178" s="1008">
        <f t="shared" si="163"/>
        <v>0</v>
      </c>
      <c r="DO178" s="1008">
        <f t="shared" si="163"/>
        <v>0</v>
      </c>
      <c r="DP178" s="1008">
        <f t="shared" si="163"/>
        <v>8000000</v>
      </c>
      <c r="DQ178" s="1008">
        <f t="shared" si="163"/>
        <v>0</v>
      </c>
      <c r="DR178" s="1008"/>
      <c r="DS178" s="1008">
        <f t="shared" si="189"/>
        <v>0</v>
      </c>
      <c r="DT178" s="1008">
        <f t="shared" si="189"/>
        <v>0</v>
      </c>
      <c r="DU178" s="1008"/>
      <c r="DV178" s="1008">
        <f t="shared" si="190"/>
        <v>0</v>
      </c>
      <c r="DW178" s="1008">
        <f t="shared" si="190"/>
        <v>0</v>
      </c>
      <c r="DX178" s="1008">
        <f t="shared" si="190"/>
        <v>0</v>
      </c>
      <c r="DY178" s="1008">
        <f t="shared" si="191"/>
        <v>0</v>
      </c>
      <c r="DZ178" s="1008">
        <f t="shared" si="191"/>
        <v>0</v>
      </c>
      <c r="EA178" s="1008">
        <f t="shared" si="191"/>
        <v>0</v>
      </c>
      <c r="EB178" s="1008">
        <f t="shared" si="191"/>
        <v>0</v>
      </c>
      <c r="EC178" s="1008">
        <f t="shared" si="191"/>
        <v>0</v>
      </c>
      <c r="ED178" s="1008">
        <f t="shared" si="191"/>
        <v>0</v>
      </c>
    </row>
    <row r="179" spans="1:134" s="203" customFormat="1" ht="51" hidden="1" customHeight="1" x14ac:dyDescent="0.25">
      <c r="A179" s="1560"/>
      <c r="B179" s="989"/>
      <c r="C179" s="1631" t="s">
        <v>4542</v>
      </c>
      <c r="D179" s="1019" t="s">
        <v>4535</v>
      </c>
      <c r="E179" s="989">
        <v>510</v>
      </c>
      <c r="F179" s="1120" t="s">
        <v>4536</v>
      </c>
      <c r="G179" s="1400"/>
      <c r="H179" s="1061">
        <f t="shared" si="143"/>
        <v>0</v>
      </c>
      <c r="I179" s="1061">
        <f t="shared" si="144"/>
        <v>0</v>
      </c>
      <c r="J179" s="1588"/>
      <c r="K179" s="1584"/>
      <c r="L179" s="1573"/>
      <c r="M179" s="1075">
        <v>0</v>
      </c>
      <c r="N179" s="1075">
        <v>20</v>
      </c>
      <c r="O179" s="1075">
        <v>0</v>
      </c>
      <c r="P179" s="1075"/>
      <c r="Q179" s="1075"/>
      <c r="R179" s="1075"/>
      <c r="S179" s="1120"/>
      <c r="T179" s="1120"/>
      <c r="U179" s="1120"/>
      <c r="V179" s="1120"/>
      <c r="W179" s="1120"/>
      <c r="X179" s="1120"/>
      <c r="Y179" s="1067">
        <f t="shared" si="173"/>
        <v>0</v>
      </c>
      <c r="Z179" s="149"/>
      <c r="AA179" s="1067"/>
      <c r="AB179" s="1067"/>
      <c r="AC179" s="1067">
        <f>16000000-16000000</f>
        <v>0</v>
      </c>
      <c r="AD179" s="1067"/>
      <c r="AE179" s="1067"/>
      <c r="AF179" s="1067"/>
      <c r="AG179" s="1067"/>
      <c r="AH179" s="1067"/>
      <c r="AI179" s="1067"/>
      <c r="AJ179" s="1067"/>
      <c r="AK179" s="1067"/>
      <c r="AL179" s="1067"/>
      <c r="AM179" s="1067"/>
      <c r="AN179" s="1067"/>
      <c r="AO179" s="1067"/>
      <c r="AP179" s="1067"/>
      <c r="AQ179" s="1067"/>
      <c r="AR179" s="1067"/>
      <c r="AS179" s="1067"/>
      <c r="AU179" s="1082" t="e">
        <f t="shared" si="180"/>
        <v>#DIV/0!</v>
      </c>
      <c r="AV179" s="1067">
        <f t="shared" si="174"/>
        <v>0</v>
      </c>
      <c r="AW179" s="1067"/>
      <c r="AX179" s="1067"/>
      <c r="AY179" s="1067"/>
      <c r="AZ179" s="1067"/>
      <c r="BA179" s="1067"/>
      <c r="BB179" s="1067"/>
      <c r="BC179" s="1067"/>
      <c r="BD179" s="1067"/>
      <c r="BE179" s="1067"/>
      <c r="BF179" s="1067"/>
      <c r="BG179" s="1067"/>
      <c r="BH179" s="1067"/>
      <c r="BI179" s="1067"/>
      <c r="BJ179" s="1067"/>
      <c r="BK179" s="1067"/>
      <c r="BL179" s="1067"/>
      <c r="BM179" s="1067"/>
      <c r="BN179" s="1067"/>
      <c r="BO179" s="1067"/>
      <c r="BP179" s="1067"/>
      <c r="BQ179" s="1082" t="e">
        <f t="shared" si="181"/>
        <v>#DIV/0!</v>
      </c>
      <c r="BR179" s="1067">
        <f t="shared" si="175"/>
        <v>0</v>
      </c>
      <c r="BS179" s="1067">
        <f t="shared" si="182"/>
        <v>0</v>
      </c>
      <c r="BT179" s="1067">
        <f t="shared" si="183"/>
        <v>0</v>
      </c>
      <c r="BU179" s="1067"/>
      <c r="BV179" s="1067">
        <f t="shared" si="162"/>
        <v>0</v>
      </c>
      <c r="BW179" s="1067">
        <f t="shared" si="162"/>
        <v>0</v>
      </c>
      <c r="BX179" s="1067">
        <f t="shared" si="184"/>
        <v>0</v>
      </c>
      <c r="BY179" s="1067">
        <f t="shared" si="184"/>
        <v>0</v>
      </c>
      <c r="BZ179" s="1067"/>
      <c r="CA179" s="1067">
        <f t="shared" si="185"/>
        <v>0</v>
      </c>
      <c r="CB179" s="1067">
        <f t="shared" si="185"/>
        <v>0</v>
      </c>
      <c r="CC179" s="1067">
        <f t="shared" si="185"/>
        <v>0</v>
      </c>
      <c r="CD179" s="1067">
        <f t="shared" si="185"/>
        <v>0</v>
      </c>
      <c r="CE179" s="1067">
        <f t="shared" si="185"/>
        <v>0</v>
      </c>
      <c r="CF179" s="1067">
        <f t="shared" si="185"/>
        <v>0</v>
      </c>
      <c r="CG179" s="1067">
        <f t="shared" si="185"/>
        <v>0</v>
      </c>
      <c r="CH179" s="1067">
        <f t="shared" si="185"/>
        <v>0</v>
      </c>
      <c r="CI179" s="1067">
        <f t="shared" si="185"/>
        <v>0</v>
      </c>
      <c r="CJ179" s="1067"/>
      <c r="CK179" s="1067">
        <f t="shared" si="186"/>
        <v>0</v>
      </c>
      <c r="CL179" s="1067">
        <f t="shared" si="186"/>
        <v>0</v>
      </c>
      <c r="CM179" s="1082" t="e">
        <f t="shared" si="187"/>
        <v>#DIV/0!</v>
      </c>
      <c r="CN179" s="1067">
        <f t="shared" si="176"/>
        <v>0</v>
      </c>
      <c r="CO179" s="1067"/>
      <c r="CP179" s="1067"/>
      <c r="CQ179" s="1067"/>
      <c r="CR179" s="1067"/>
      <c r="CS179" s="1067"/>
      <c r="CT179" s="1067"/>
      <c r="CU179" s="1067"/>
      <c r="CV179" s="1067"/>
      <c r="CW179" s="1067"/>
      <c r="CX179" s="1067"/>
      <c r="CY179" s="1067"/>
      <c r="CZ179" s="1067"/>
      <c r="DA179" s="1067"/>
      <c r="DB179" s="1067"/>
      <c r="DC179" s="1067"/>
      <c r="DD179" s="1067"/>
      <c r="DE179" s="1067"/>
      <c r="DF179" s="1067"/>
      <c r="DG179" s="1067"/>
      <c r="DH179" s="1067"/>
      <c r="DI179" s="1082" t="e">
        <f t="shared" si="188"/>
        <v>#DIV/0!</v>
      </c>
      <c r="DJ179" s="1067">
        <f t="shared" si="177"/>
        <v>0</v>
      </c>
      <c r="DK179" s="1067"/>
      <c r="DL179" s="1067"/>
      <c r="DM179" s="1067"/>
      <c r="DN179" s="1067">
        <f t="shared" si="163"/>
        <v>0</v>
      </c>
      <c r="DO179" s="1067">
        <f t="shared" si="163"/>
        <v>0</v>
      </c>
      <c r="DP179" s="1067">
        <f t="shared" si="163"/>
        <v>0</v>
      </c>
      <c r="DQ179" s="1067">
        <f t="shared" si="163"/>
        <v>0</v>
      </c>
      <c r="DR179" s="1067"/>
      <c r="DS179" s="1067">
        <f t="shared" si="189"/>
        <v>0</v>
      </c>
      <c r="DT179" s="1067">
        <f t="shared" si="189"/>
        <v>0</v>
      </c>
      <c r="DU179" s="1067"/>
      <c r="DV179" s="1067">
        <f t="shared" si="190"/>
        <v>0</v>
      </c>
      <c r="DW179" s="1067">
        <f t="shared" si="190"/>
        <v>0</v>
      </c>
      <c r="DX179" s="1067">
        <f t="shared" si="190"/>
        <v>0</v>
      </c>
      <c r="DY179" s="1067">
        <f t="shared" si="191"/>
        <v>0</v>
      </c>
      <c r="DZ179" s="1067">
        <f t="shared" si="191"/>
        <v>0</v>
      </c>
      <c r="EA179" s="1067">
        <f t="shared" si="191"/>
        <v>0</v>
      </c>
      <c r="EB179" s="1067">
        <f t="shared" si="191"/>
        <v>0</v>
      </c>
      <c r="EC179" s="1067">
        <f t="shared" si="191"/>
        <v>0</v>
      </c>
      <c r="ED179" s="1067">
        <f t="shared" si="191"/>
        <v>0</v>
      </c>
    </row>
    <row r="180" spans="1:134" s="203" customFormat="1" ht="48.75" hidden="1" customHeight="1" x14ac:dyDescent="0.25">
      <c r="A180" s="1560"/>
      <c r="B180" s="989"/>
      <c r="C180" s="1631" t="s">
        <v>4543</v>
      </c>
      <c r="D180" s="1019" t="s">
        <v>4691</v>
      </c>
      <c r="E180" s="989">
        <v>510</v>
      </c>
      <c r="F180" s="1120" t="s">
        <v>4536</v>
      </c>
      <c r="G180" s="1400"/>
      <c r="H180" s="1061">
        <f t="shared" si="143"/>
        <v>0</v>
      </c>
      <c r="I180" s="1061">
        <f t="shared" si="144"/>
        <v>0</v>
      </c>
      <c r="J180" s="1588"/>
      <c r="K180" s="1584"/>
      <c r="L180" s="1573"/>
      <c r="M180" s="1075">
        <v>0</v>
      </c>
      <c r="N180" s="1075">
        <v>0</v>
      </c>
      <c r="O180" s="1075">
        <v>0</v>
      </c>
      <c r="P180" s="1075"/>
      <c r="Q180" s="1075"/>
      <c r="R180" s="1075"/>
      <c r="S180" s="1120"/>
      <c r="T180" s="1120"/>
      <c r="U180" s="1120"/>
      <c r="V180" s="1120"/>
      <c r="W180" s="1120"/>
      <c r="X180" s="1120"/>
      <c r="Y180" s="1067">
        <f t="shared" si="173"/>
        <v>0</v>
      </c>
      <c r="Z180" s="149"/>
      <c r="AA180" s="1067"/>
      <c r="AB180" s="1067"/>
      <c r="AC180" s="1067">
        <f>5000000-5000000</f>
        <v>0</v>
      </c>
      <c r="AD180" s="1067"/>
      <c r="AE180" s="1067"/>
      <c r="AF180" s="1067"/>
      <c r="AG180" s="1067"/>
      <c r="AH180" s="1067"/>
      <c r="AI180" s="1067"/>
      <c r="AJ180" s="1067"/>
      <c r="AK180" s="1067"/>
      <c r="AL180" s="1067"/>
      <c r="AM180" s="1067"/>
      <c r="AN180" s="1067"/>
      <c r="AO180" s="1067"/>
      <c r="AP180" s="1067"/>
      <c r="AQ180" s="1067"/>
      <c r="AR180" s="1067"/>
      <c r="AS180" s="1067"/>
      <c r="AU180" s="1082" t="e">
        <f t="shared" si="180"/>
        <v>#DIV/0!</v>
      </c>
      <c r="AV180" s="1067">
        <f t="shared" si="174"/>
        <v>0</v>
      </c>
      <c r="AW180" s="1067"/>
      <c r="AX180" s="1067"/>
      <c r="AY180" s="1067"/>
      <c r="AZ180" s="1067"/>
      <c r="BA180" s="1067"/>
      <c r="BB180" s="1067"/>
      <c r="BC180" s="1067"/>
      <c r="BD180" s="1067"/>
      <c r="BE180" s="1067"/>
      <c r="BF180" s="1067"/>
      <c r="BG180" s="1067"/>
      <c r="BH180" s="1067"/>
      <c r="BI180" s="1067"/>
      <c r="BJ180" s="1067"/>
      <c r="BK180" s="1067"/>
      <c r="BL180" s="1067"/>
      <c r="BM180" s="1067"/>
      <c r="BN180" s="1067"/>
      <c r="BO180" s="1067"/>
      <c r="BP180" s="1067"/>
      <c r="BQ180" s="1082" t="e">
        <f t="shared" si="181"/>
        <v>#DIV/0!</v>
      </c>
      <c r="BR180" s="1067">
        <f t="shared" si="175"/>
        <v>0</v>
      </c>
      <c r="BS180" s="1067">
        <f t="shared" si="182"/>
        <v>0</v>
      </c>
      <c r="BT180" s="1067">
        <f t="shared" si="183"/>
        <v>0</v>
      </c>
      <c r="BU180" s="1067"/>
      <c r="BV180" s="1067">
        <f t="shared" si="162"/>
        <v>0</v>
      </c>
      <c r="BW180" s="1067">
        <f t="shared" si="162"/>
        <v>0</v>
      </c>
      <c r="BX180" s="1067">
        <f t="shared" si="184"/>
        <v>0</v>
      </c>
      <c r="BY180" s="1067">
        <f t="shared" si="184"/>
        <v>0</v>
      </c>
      <c r="BZ180" s="1067"/>
      <c r="CA180" s="1067">
        <f t="shared" si="185"/>
        <v>0</v>
      </c>
      <c r="CB180" s="1067">
        <f t="shared" si="185"/>
        <v>0</v>
      </c>
      <c r="CC180" s="1067">
        <f t="shared" si="185"/>
        <v>0</v>
      </c>
      <c r="CD180" s="1067">
        <f t="shared" si="185"/>
        <v>0</v>
      </c>
      <c r="CE180" s="1067">
        <f t="shared" si="185"/>
        <v>0</v>
      </c>
      <c r="CF180" s="1067">
        <f t="shared" si="185"/>
        <v>0</v>
      </c>
      <c r="CG180" s="1067">
        <f t="shared" si="185"/>
        <v>0</v>
      </c>
      <c r="CH180" s="1067">
        <f t="shared" si="185"/>
        <v>0</v>
      </c>
      <c r="CI180" s="1067">
        <f t="shared" si="185"/>
        <v>0</v>
      </c>
      <c r="CJ180" s="1067"/>
      <c r="CK180" s="1067">
        <f t="shared" si="186"/>
        <v>0</v>
      </c>
      <c r="CL180" s="1067">
        <f t="shared" si="186"/>
        <v>0</v>
      </c>
      <c r="CM180" s="1082" t="e">
        <f t="shared" si="187"/>
        <v>#DIV/0!</v>
      </c>
      <c r="CN180" s="1067">
        <f t="shared" si="176"/>
        <v>0</v>
      </c>
      <c r="CO180" s="1067"/>
      <c r="CP180" s="1067"/>
      <c r="CQ180" s="1067"/>
      <c r="CR180" s="1067"/>
      <c r="CS180" s="1067"/>
      <c r="CT180" s="1067"/>
      <c r="CU180" s="1067"/>
      <c r="CV180" s="1067"/>
      <c r="CW180" s="1067"/>
      <c r="CX180" s="1067"/>
      <c r="CY180" s="1067"/>
      <c r="CZ180" s="1067"/>
      <c r="DA180" s="1067"/>
      <c r="DB180" s="1067"/>
      <c r="DC180" s="1067"/>
      <c r="DD180" s="1067"/>
      <c r="DE180" s="1067"/>
      <c r="DF180" s="1067"/>
      <c r="DG180" s="1067"/>
      <c r="DH180" s="1067"/>
      <c r="DI180" s="1082" t="e">
        <f t="shared" si="188"/>
        <v>#DIV/0!</v>
      </c>
      <c r="DJ180" s="1067">
        <f t="shared" si="177"/>
        <v>0</v>
      </c>
      <c r="DK180" s="1067"/>
      <c r="DL180" s="1067"/>
      <c r="DM180" s="1067"/>
      <c r="DN180" s="1067">
        <f t="shared" si="163"/>
        <v>0</v>
      </c>
      <c r="DO180" s="1067">
        <f t="shared" si="163"/>
        <v>0</v>
      </c>
      <c r="DP180" s="1067">
        <f t="shared" si="163"/>
        <v>0</v>
      </c>
      <c r="DQ180" s="1067">
        <f t="shared" si="163"/>
        <v>0</v>
      </c>
      <c r="DR180" s="1067"/>
      <c r="DS180" s="1067">
        <f t="shared" si="189"/>
        <v>0</v>
      </c>
      <c r="DT180" s="1067">
        <f t="shared" si="189"/>
        <v>0</v>
      </c>
      <c r="DU180" s="1067"/>
      <c r="DV180" s="1067">
        <f t="shared" si="190"/>
        <v>0</v>
      </c>
      <c r="DW180" s="1067">
        <f t="shared" si="190"/>
        <v>0</v>
      </c>
      <c r="DX180" s="1067">
        <f t="shared" si="190"/>
        <v>0</v>
      </c>
      <c r="DY180" s="1067">
        <f t="shared" si="191"/>
        <v>0</v>
      </c>
      <c r="DZ180" s="1067">
        <f t="shared" si="191"/>
        <v>0</v>
      </c>
      <c r="EA180" s="1067">
        <f t="shared" si="191"/>
        <v>0</v>
      </c>
      <c r="EB180" s="1067">
        <f t="shared" si="191"/>
        <v>0</v>
      </c>
      <c r="EC180" s="1067">
        <f t="shared" si="191"/>
        <v>0</v>
      </c>
      <c r="ED180" s="1067">
        <f t="shared" si="191"/>
        <v>0</v>
      </c>
    </row>
    <row r="181" spans="1:134" ht="49.5" hidden="1" customHeight="1" x14ac:dyDescent="0.25">
      <c r="A181" s="1560"/>
      <c r="B181" s="989"/>
      <c r="C181" s="1635" t="s">
        <v>4544</v>
      </c>
      <c r="D181" s="1019" t="s">
        <v>4692</v>
      </c>
      <c r="E181" s="994">
        <v>510</v>
      </c>
      <c r="F181" s="1120" t="s">
        <v>4536</v>
      </c>
      <c r="G181" s="1400"/>
      <c r="H181" s="1061">
        <f t="shared" si="143"/>
        <v>0</v>
      </c>
      <c r="I181" s="1061">
        <f t="shared" si="144"/>
        <v>8000000</v>
      </c>
      <c r="J181" s="1588"/>
      <c r="K181" s="1584"/>
      <c r="L181" s="1573"/>
      <c r="M181" s="1115">
        <v>0</v>
      </c>
      <c r="N181" s="1115">
        <v>0</v>
      </c>
      <c r="O181" s="1115">
        <v>0</v>
      </c>
      <c r="P181" s="1115">
        <v>0</v>
      </c>
      <c r="Q181" s="1115">
        <v>0</v>
      </c>
      <c r="R181" s="1115">
        <v>0</v>
      </c>
      <c r="S181" s="1120"/>
      <c r="T181" s="1120"/>
      <c r="U181" s="1120"/>
      <c r="V181" s="1120"/>
      <c r="W181" s="1120"/>
      <c r="X181" s="1120"/>
      <c r="Y181" s="1008">
        <f t="shared" si="173"/>
        <v>8000000</v>
      </c>
      <c r="Z181" s="944"/>
      <c r="AA181" s="1008"/>
      <c r="AB181" s="1008"/>
      <c r="AC181" s="1008">
        <f>8000000-8000000</f>
        <v>0</v>
      </c>
      <c r="AD181" s="1008"/>
      <c r="AE181" s="1008"/>
      <c r="AF181" s="1008"/>
      <c r="AG181" s="1008"/>
      <c r="AH181" s="1008"/>
      <c r="AI181" s="1008"/>
      <c r="AJ181" s="1008"/>
      <c r="AK181" s="1008"/>
      <c r="AL181" s="1008"/>
      <c r="AM181" s="1008"/>
      <c r="AN181" s="1008"/>
      <c r="AO181" s="1008">
        <v>8000000</v>
      </c>
      <c r="AP181" s="1008"/>
      <c r="AQ181" s="1008"/>
      <c r="AR181" s="1008"/>
      <c r="AS181" s="1008"/>
      <c r="AU181" s="1011">
        <f t="shared" si="180"/>
        <v>0</v>
      </c>
      <c r="AV181" s="1008">
        <f t="shared" si="174"/>
        <v>0</v>
      </c>
      <c r="AW181" s="1008"/>
      <c r="AX181" s="1008"/>
      <c r="AY181" s="1008"/>
      <c r="AZ181" s="1008"/>
      <c r="BA181" s="1008"/>
      <c r="BB181" s="1008"/>
      <c r="BC181" s="1008"/>
      <c r="BD181" s="1008"/>
      <c r="BE181" s="1008"/>
      <c r="BF181" s="1008"/>
      <c r="BG181" s="1008"/>
      <c r="BH181" s="1008"/>
      <c r="BI181" s="1008"/>
      <c r="BJ181" s="1008"/>
      <c r="BK181" s="1008"/>
      <c r="BL181" s="1008"/>
      <c r="BM181" s="1008"/>
      <c r="BN181" s="1008"/>
      <c r="BO181" s="1008"/>
      <c r="BP181" s="1008"/>
      <c r="BQ181" s="1011">
        <f t="shared" si="181"/>
        <v>1</v>
      </c>
      <c r="BR181" s="1008">
        <f t="shared" si="175"/>
        <v>8000000</v>
      </c>
      <c r="BS181" s="1008">
        <f t="shared" si="182"/>
        <v>0</v>
      </c>
      <c r="BT181" s="1008">
        <f t="shared" si="183"/>
        <v>0</v>
      </c>
      <c r="BU181" s="1008"/>
      <c r="BV181" s="1008">
        <f t="shared" si="162"/>
        <v>0</v>
      </c>
      <c r="BW181" s="1008">
        <f t="shared" si="162"/>
        <v>0</v>
      </c>
      <c r="BX181" s="1008">
        <f t="shared" si="184"/>
        <v>0</v>
      </c>
      <c r="BY181" s="1008">
        <f t="shared" si="184"/>
        <v>0</v>
      </c>
      <c r="BZ181" s="1008"/>
      <c r="CA181" s="1008">
        <f t="shared" si="185"/>
        <v>0</v>
      </c>
      <c r="CB181" s="1008">
        <f t="shared" si="185"/>
        <v>0</v>
      </c>
      <c r="CC181" s="1008">
        <f t="shared" si="185"/>
        <v>0</v>
      </c>
      <c r="CD181" s="1008">
        <f t="shared" si="185"/>
        <v>0</v>
      </c>
      <c r="CE181" s="1008">
        <f t="shared" si="185"/>
        <v>0</v>
      </c>
      <c r="CF181" s="1008">
        <f t="shared" si="185"/>
        <v>0</v>
      </c>
      <c r="CG181" s="1008">
        <f t="shared" si="185"/>
        <v>0</v>
      </c>
      <c r="CH181" s="1008">
        <f t="shared" si="185"/>
        <v>8000000</v>
      </c>
      <c r="CI181" s="1008">
        <f t="shared" si="185"/>
        <v>0</v>
      </c>
      <c r="CJ181" s="1008"/>
      <c r="CK181" s="1008">
        <f t="shared" si="186"/>
        <v>0</v>
      </c>
      <c r="CL181" s="1008">
        <f t="shared" si="186"/>
        <v>0</v>
      </c>
      <c r="CM181" s="1011">
        <f t="shared" si="187"/>
        <v>0</v>
      </c>
      <c r="CN181" s="1008">
        <f t="shared" si="176"/>
        <v>0</v>
      </c>
      <c r="CO181" s="1008"/>
      <c r="CP181" s="1008"/>
      <c r="CQ181" s="1008"/>
      <c r="CR181" s="1008"/>
      <c r="CS181" s="1008"/>
      <c r="CT181" s="1008"/>
      <c r="CU181" s="1008"/>
      <c r="CV181" s="1008"/>
      <c r="CW181" s="1008"/>
      <c r="CX181" s="1008"/>
      <c r="CY181" s="1008"/>
      <c r="CZ181" s="1008"/>
      <c r="DA181" s="1008"/>
      <c r="DB181" s="1008"/>
      <c r="DC181" s="1008"/>
      <c r="DD181" s="1008"/>
      <c r="DE181" s="1008"/>
      <c r="DF181" s="1008"/>
      <c r="DG181" s="1008"/>
      <c r="DH181" s="1008"/>
      <c r="DI181" s="1011">
        <f t="shared" si="188"/>
        <v>1</v>
      </c>
      <c r="DJ181" s="1008">
        <f t="shared" si="177"/>
        <v>8000000</v>
      </c>
      <c r="DK181" s="1008"/>
      <c r="DL181" s="1008"/>
      <c r="DM181" s="1008"/>
      <c r="DN181" s="1008">
        <f t="shared" si="163"/>
        <v>0</v>
      </c>
      <c r="DO181" s="1008">
        <f t="shared" si="163"/>
        <v>0</v>
      </c>
      <c r="DP181" s="1008">
        <f t="shared" si="163"/>
        <v>0</v>
      </c>
      <c r="DQ181" s="1008">
        <f t="shared" si="163"/>
        <v>0</v>
      </c>
      <c r="DR181" s="1008"/>
      <c r="DS181" s="1008">
        <f t="shared" si="189"/>
        <v>0</v>
      </c>
      <c r="DT181" s="1008">
        <f t="shared" si="189"/>
        <v>0</v>
      </c>
      <c r="DU181" s="1008"/>
      <c r="DV181" s="1008">
        <f t="shared" si="190"/>
        <v>0</v>
      </c>
      <c r="DW181" s="1008">
        <f t="shared" si="190"/>
        <v>0</v>
      </c>
      <c r="DX181" s="1008">
        <f t="shared" si="190"/>
        <v>0</v>
      </c>
      <c r="DY181" s="1008">
        <f t="shared" si="191"/>
        <v>0</v>
      </c>
      <c r="DZ181" s="1008">
        <f t="shared" si="191"/>
        <v>8000000</v>
      </c>
      <c r="EA181" s="1008">
        <f t="shared" si="191"/>
        <v>0</v>
      </c>
      <c r="EB181" s="1008">
        <f t="shared" si="191"/>
        <v>0</v>
      </c>
      <c r="EC181" s="1008">
        <f t="shared" si="191"/>
        <v>0</v>
      </c>
      <c r="ED181" s="1008">
        <f t="shared" si="191"/>
        <v>0</v>
      </c>
    </row>
    <row r="182" spans="1:134" ht="36" hidden="1" customHeight="1" x14ac:dyDescent="0.25">
      <c r="A182" s="1560"/>
      <c r="B182" s="989"/>
      <c r="C182" s="1635" t="s">
        <v>4545</v>
      </c>
      <c r="D182" s="1019" t="s">
        <v>4693</v>
      </c>
      <c r="E182" s="994">
        <v>510</v>
      </c>
      <c r="F182" s="1120" t="s">
        <v>4536</v>
      </c>
      <c r="G182" s="1400"/>
      <c r="H182" s="1061">
        <f t="shared" si="143"/>
        <v>74061157</v>
      </c>
      <c r="I182" s="1061">
        <f t="shared" si="144"/>
        <v>32938843</v>
      </c>
      <c r="J182" s="1588"/>
      <c r="K182" s="1584"/>
      <c r="L182" s="1573"/>
      <c r="M182" s="1115">
        <v>30</v>
      </c>
      <c r="N182" s="1115">
        <v>30</v>
      </c>
      <c r="O182" s="1115">
        <v>9</v>
      </c>
      <c r="P182" s="1115">
        <v>30</v>
      </c>
      <c r="Q182" s="1115">
        <v>60</v>
      </c>
      <c r="R182" s="1115">
        <v>18</v>
      </c>
      <c r="S182" s="1120"/>
      <c r="T182" s="1120"/>
      <c r="U182" s="1120"/>
      <c r="V182" s="1120"/>
      <c r="W182" s="1120"/>
      <c r="X182" s="1120"/>
      <c r="Y182" s="1008">
        <f t="shared" si="173"/>
        <v>107000000</v>
      </c>
      <c r="Z182" s="944"/>
      <c r="AA182" s="1008"/>
      <c r="AB182" s="1008"/>
      <c r="AC182" s="1008"/>
      <c r="AD182" s="1008"/>
      <c r="AE182" s="1008">
        <v>107000000</v>
      </c>
      <c r="AF182" s="1008"/>
      <c r="AG182" s="1008"/>
      <c r="AH182" s="1008"/>
      <c r="AI182" s="1008"/>
      <c r="AJ182" s="1008"/>
      <c r="AK182" s="1008"/>
      <c r="AL182" s="1008"/>
      <c r="AM182" s="1008"/>
      <c r="AN182" s="1008"/>
      <c r="AO182" s="1008"/>
      <c r="AP182" s="1008"/>
      <c r="AQ182" s="1008"/>
      <c r="AR182" s="1008"/>
      <c r="AS182" s="1008"/>
      <c r="AU182" s="1011">
        <f t="shared" si="180"/>
        <v>0.69216034579439256</v>
      </c>
      <c r="AV182" s="1008">
        <f t="shared" si="174"/>
        <v>74061157</v>
      </c>
      <c r="AW182" s="1008"/>
      <c r="AX182" s="1008"/>
      <c r="AY182" s="1008"/>
      <c r="AZ182" s="1008"/>
      <c r="BA182" s="1008"/>
      <c r="BB182" s="1008">
        <f>+'[16]AGOSTO 2015'!$O$2267</f>
        <v>74061157</v>
      </c>
      <c r="BC182" s="1008"/>
      <c r="BD182" s="1008"/>
      <c r="BE182" s="1008"/>
      <c r="BF182" s="1008"/>
      <c r="BG182" s="1008"/>
      <c r="BH182" s="1008"/>
      <c r="BI182" s="1008"/>
      <c r="BJ182" s="1008"/>
      <c r="BK182" s="1008"/>
      <c r="BL182" s="1008"/>
      <c r="BM182" s="1008"/>
      <c r="BN182" s="1008"/>
      <c r="BO182" s="1008"/>
      <c r="BP182" s="1008"/>
      <c r="BQ182" s="1011">
        <f t="shared" si="181"/>
        <v>0.30783965420560744</v>
      </c>
      <c r="BR182" s="1008">
        <f t="shared" si="175"/>
        <v>32938843</v>
      </c>
      <c r="BS182" s="1008">
        <f t="shared" si="182"/>
        <v>0</v>
      </c>
      <c r="BT182" s="1008">
        <f t="shared" si="183"/>
        <v>0</v>
      </c>
      <c r="BU182" s="1008"/>
      <c r="BV182" s="1008">
        <f t="shared" si="162"/>
        <v>0</v>
      </c>
      <c r="BW182" s="1008">
        <f t="shared" si="162"/>
        <v>0</v>
      </c>
      <c r="BX182" s="1008">
        <f t="shared" si="184"/>
        <v>32938843</v>
      </c>
      <c r="BY182" s="1008">
        <f t="shared" si="184"/>
        <v>0</v>
      </c>
      <c r="BZ182" s="1008"/>
      <c r="CA182" s="1008">
        <f t="shared" si="185"/>
        <v>0</v>
      </c>
      <c r="CB182" s="1008">
        <f t="shared" si="185"/>
        <v>0</v>
      </c>
      <c r="CC182" s="1008">
        <f t="shared" si="185"/>
        <v>0</v>
      </c>
      <c r="CD182" s="1008">
        <f t="shared" si="185"/>
        <v>0</v>
      </c>
      <c r="CE182" s="1008">
        <f t="shared" si="185"/>
        <v>0</v>
      </c>
      <c r="CF182" s="1008">
        <f t="shared" si="185"/>
        <v>0</v>
      </c>
      <c r="CG182" s="1008">
        <f t="shared" si="185"/>
        <v>0</v>
      </c>
      <c r="CH182" s="1008">
        <f t="shared" si="185"/>
        <v>0</v>
      </c>
      <c r="CI182" s="1008">
        <f t="shared" si="185"/>
        <v>0</v>
      </c>
      <c r="CJ182" s="1008"/>
      <c r="CK182" s="1008"/>
      <c r="CL182" s="1008">
        <f t="shared" si="186"/>
        <v>0</v>
      </c>
      <c r="CM182" s="1011">
        <f t="shared" si="187"/>
        <v>0.69216034579439256</v>
      </c>
      <c r="CN182" s="1008">
        <f t="shared" si="176"/>
        <v>74061157</v>
      </c>
      <c r="CO182" s="1008"/>
      <c r="CP182" s="1008"/>
      <c r="CQ182" s="1008"/>
      <c r="CR182" s="1008"/>
      <c r="CS182" s="1008"/>
      <c r="CT182" s="1008">
        <f>+'[16]AGOSTO 2015'!$H$2265</f>
        <v>74061157</v>
      </c>
      <c r="CU182" s="1008"/>
      <c r="CV182" s="1008"/>
      <c r="CW182" s="1008"/>
      <c r="CX182" s="1008"/>
      <c r="CY182" s="1008"/>
      <c r="CZ182" s="1008"/>
      <c r="DA182" s="1008"/>
      <c r="DB182" s="1008"/>
      <c r="DC182" s="1008"/>
      <c r="DD182" s="1008"/>
      <c r="DE182" s="1008"/>
      <c r="DF182" s="1008"/>
      <c r="DG182" s="1008"/>
      <c r="DH182" s="1008"/>
      <c r="DI182" s="1011">
        <f t="shared" si="188"/>
        <v>0.30783965420560744</v>
      </c>
      <c r="DJ182" s="1008">
        <f t="shared" si="177"/>
        <v>32938843</v>
      </c>
      <c r="DK182" s="1008"/>
      <c r="DL182" s="1008"/>
      <c r="DM182" s="1008"/>
      <c r="DN182" s="1008">
        <f t="shared" si="163"/>
        <v>0</v>
      </c>
      <c r="DO182" s="1008">
        <f t="shared" si="163"/>
        <v>0</v>
      </c>
      <c r="DP182" s="1008">
        <f t="shared" si="163"/>
        <v>32938843</v>
      </c>
      <c r="DQ182" s="1008">
        <f t="shared" si="163"/>
        <v>0</v>
      </c>
      <c r="DR182" s="1008"/>
      <c r="DS182" s="1008">
        <f t="shared" si="189"/>
        <v>0</v>
      </c>
      <c r="DT182" s="1008">
        <f t="shared" si="189"/>
        <v>0</v>
      </c>
      <c r="DU182" s="1008"/>
      <c r="DV182" s="1008">
        <f t="shared" si="190"/>
        <v>0</v>
      </c>
      <c r="DW182" s="1008">
        <f t="shared" si="190"/>
        <v>0</v>
      </c>
      <c r="DX182" s="1008">
        <f t="shared" si="190"/>
        <v>0</v>
      </c>
      <c r="DY182" s="1008">
        <f t="shared" si="191"/>
        <v>0</v>
      </c>
      <c r="DZ182" s="1008">
        <f t="shared" si="191"/>
        <v>0</v>
      </c>
      <c r="EA182" s="1008">
        <f t="shared" si="191"/>
        <v>0</v>
      </c>
      <c r="EB182" s="1008">
        <f t="shared" si="191"/>
        <v>0</v>
      </c>
      <c r="EC182" s="1008">
        <f t="shared" si="191"/>
        <v>0</v>
      </c>
      <c r="ED182" s="1008">
        <f t="shared" si="191"/>
        <v>0</v>
      </c>
    </row>
    <row r="183" spans="1:134" s="203" customFormat="1" ht="33" hidden="1" customHeight="1" x14ac:dyDescent="0.25">
      <c r="A183" s="1560"/>
      <c r="B183" s="989"/>
      <c r="C183" s="1631" t="s">
        <v>4668</v>
      </c>
      <c r="D183" s="1019" t="s">
        <v>4655</v>
      </c>
      <c r="E183" s="989">
        <v>510</v>
      </c>
      <c r="F183" s="1120" t="s">
        <v>4536</v>
      </c>
      <c r="G183" s="1401"/>
      <c r="H183" s="1061">
        <f t="shared" si="143"/>
        <v>0</v>
      </c>
      <c r="I183" s="1061">
        <f t="shared" si="144"/>
        <v>0</v>
      </c>
      <c r="J183" s="1589"/>
      <c r="K183" s="1585"/>
      <c r="L183" s="1284"/>
      <c r="M183" s="1075">
        <v>0</v>
      </c>
      <c r="N183" s="1075">
        <v>0</v>
      </c>
      <c r="O183" s="1075">
        <v>0</v>
      </c>
      <c r="P183" s="1075"/>
      <c r="Q183" s="1075"/>
      <c r="R183" s="1075"/>
      <c r="S183" s="1120"/>
      <c r="T183" s="1120"/>
      <c r="U183" s="1120"/>
      <c r="V183" s="1120"/>
      <c r="W183" s="1120"/>
      <c r="X183" s="1120"/>
      <c r="Y183" s="1067">
        <f t="shared" si="173"/>
        <v>0</v>
      </c>
      <c r="Z183" s="149"/>
      <c r="AA183" s="1067"/>
      <c r="AB183" s="1067"/>
      <c r="AC183" s="1067">
        <f>15000000-15000000</f>
        <v>0</v>
      </c>
      <c r="AD183" s="1067"/>
      <c r="AE183" s="1067"/>
      <c r="AF183" s="1067"/>
      <c r="AG183" s="1067"/>
      <c r="AH183" s="1067"/>
      <c r="AI183" s="1067"/>
      <c r="AJ183" s="1067"/>
      <c r="AK183" s="1067"/>
      <c r="AL183" s="1067"/>
      <c r="AM183" s="1067"/>
      <c r="AN183" s="1067"/>
      <c r="AO183" s="1067"/>
      <c r="AP183" s="1067"/>
      <c r="AQ183" s="1067"/>
      <c r="AR183" s="1067"/>
      <c r="AS183" s="1067"/>
      <c r="AU183" s="1082" t="e">
        <f t="shared" si="180"/>
        <v>#DIV/0!</v>
      </c>
      <c r="AV183" s="1067">
        <f t="shared" si="174"/>
        <v>0</v>
      </c>
      <c r="AW183" s="1067"/>
      <c r="AX183" s="1067"/>
      <c r="AY183" s="1067"/>
      <c r="AZ183" s="1067"/>
      <c r="BA183" s="1067"/>
      <c r="BB183" s="1067"/>
      <c r="BC183" s="1067"/>
      <c r="BD183" s="1067"/>
      <c r="BE183" s="1067"/>
      <c r="BF183" s="1067"/>
      <c r="BG183" s="1067"/>
      <c r="BH183" s="1067"/>
      <c r="BI183" s="1067"/>
      <c r="BJ183" s="1067"/>
      <c r="BK183" s="1067"/>
      <c r="BL183" s="1067"/>
      <c r="BM183" s="1067"/>
      <c r="BN183" s="1067"/>
      <c r="BO183" s="1067"/>
      <c r="BP183" s="1067"/>
      <c r="BQ183" s="1082" t="e">
        <f t="shared" si="181"/>
        <v>#DIV/0!</v>
      </c>
      <c r="BR183" s="1067">
        <f t="shared" si="175"/>
        <v>0</v>
      </c>
      <c r="BS183" s="1067">
        <f t="shared" si="182"/>
        <v>0</v>
      </c>
      <c r="BT183" s="1067">
        <f t="shared" si="183"/>
        <v>0</v>
      </c>
      <c r="BU183" s="1067"/>
      <c r="BV183" s="1067">
        <f t="shared" si="162"/>
        <v>0</v>
      </c>
      <c r="BW183" s="1067">
        <f t="shared" si="162"/>
        <v>0</v>
      </c>
      <c r="BX183" s="1067">
        <f t="shared" si="184"/>
        <v>0</v>
      </c>
      <c r="BY183" s="1067">
        <f t="shared" si="184"/>
        <v>0</v>
      </c>
      <c r="BZ183" s="1067"/>
      <c r="CA183" s="1067">
        <f t="shared" si="185"/>
        <v>0</v>
      </c>
      <c r="CB183" s="1067">
        <f t="shared" si="185"/>
        <v>0</v>
      </c>
      <c r="CC183" s="1067">
        <f t="shared" si="185"/>
        <v>0</v>
      </c>
      <c r="CD183" s="1067">
        <f t="shared" si="185"/>
        <v>0</v>
      </c>
      <c r="CE183" s="1067">
        <f t="shared" si="185"/>
        <v>0</v>
      </c>
      <c r="CF183" s="1067">
        <f t="shared" si="185"/>
        <v>0</v>
      </c>
      <c r="CG183" s="1067">
        <f t="shared" si="185"/>
        <v>0</v>
      </c>
      <c r="CH183" s="1067">
        <f t="shared" si="185"/>
        <v>0</v>
      </c>
      <c r="CI183" s="1067">
        <f t="shared" si="185"/>
        <v>0</v>
      </c>
      <c r="CJ183" s="1067"/>
      <c r="CK183" s="1067"/>
      <c r="CL183" s="1067">
        <f t="shared" si="186"/>
        <v>0</v>
      </c>
      <c r="CM183" s="1082" t="e">
        <f t="shared" si="187"/>
        <v>#DIV/0!</v>
      </c>
      <c r="CN183" s="1067">
        <f t="shared" si="176"/>
        <v>0</v>
      </c>
      <c r="CO183" s="1067"/>
      <c r="CP183" s="1067"/>
      <c r="CQ183" s="1067"/>
      <c r="CR183" s="1067"/>
      <c r="CS183" s="1067"/>
      <c r="CT183" s="1067"/>
      <c r="CU183" s="1067"/>
      <c r="CV183" s="1067"/>
      <c r="CW183" s="1067"/>
      <c r="CX183" s="1067"/>
      <c r="CY183" s="1067"/>
      <c r="CZ183" s="1067"/>
      <c r="DA183" s="1067"/>
      <c r="DB183" s="1067"/>
      <c r="DC183" s="1067"/>
      <c r="DD183" s="1067"/>
      <c r="DE183" s="1067"/>
      <c r="DF183" s="1067"/>
      <c r="DG183" s="1067"/>
      <c r="DH183" s="1067"/>
      <c r="DI183" s="1082" t="e">
        <f t="shared" si="188"/>
        <v>#DIV/0!</v>
      </c>
      <c r="DJ183" s="1067">
        <f t="shared" si="177"/>
        <v>0</v>
      </c>
      <c r="DK183" s="1067"/>
      <c r="DL183" s="1067"/>
      <c r="DM183" s="1067"/>
      <c r="DN183" s="1067">
        <f t="shared" si="163"/>
        <v>0</v>
      </c>
      <c r="DO183" s="1067">
        <f t="shared" si="163"/>
        <v>0</v>
      </c>
      <c r="DP183" s="1067">
        <f t="shared" si="163"/>
        <v>0</v>
      </c>
      <c r="DQ183" s="1067">
        <f t="shared" si="163"/>
        <v>0</v>
      </c>
      <c r="DR183" s="1067"/>
      <c r="DS183" s="1067">
        <f t="shared" si="189"/>
        <v>0</v>
      </c>
      <c r="DT183" s="1067">
        <f t="shared" si="189"/>
        <v>0</v>
      </c>
      <c r="DU183" s="1067"/>
      <c r="DV183" s="1067">
        <f t="shared" si="190"/>
        <v>0</v>
      </c>
      <c r="DW183" s="1067">
        <f t="shared" si="190"/>
        <v>0</v>
      </c>
      <c r="DX183" s="1067">
        <f t="shared" si="190"/>
        <v>0</v>
      </c>
      <c r="DY183" s="1067">
        <f t="shared" si="191"/>
        <v>0</v>
      </c>
      <c r="DZ183" s="1067">
        <f t="shared" si="191"/>
        <v>0</v>
      </c>
      <c r="EA183" s="1067">
        <f t="shared" si="191"/>
        <v>0</v>
      </c>
      <c r="EB183" s="1067">
        <f t="shared" si="191"/>
        <v>0</v>
      </c>
      <c r="EC183" s="1067">
        <f t="shared" si="191"/>
        <v>0</v>
      </c>
      <c r="ED183" s="1067">
        <f t="shared" si="191"/>
        <v>0</v>
      </c>
    </row>
    <row r="184" spans="1:134" ht="39" hidden="1" customHeight="1" x14ac:dyDescent="0.25">
      <c r="A184" s="1560"/>
      <c r="B184" s="989" t="s">
        <v>4452</v>
      </c>
      <c r="C184" s="1635" t="s">
        <v>4643</v>
      </c>
      <c r="D184" s="1019" t="s">
        <v>4705</v>
      </c>
      <c r="E184" s="994">
        <v>510</v>
      </c>
      <c r="F184" s="1120" t="s">
        <v>4591</v>
      </c>
      <c r="G184" s="1120">
        <v>80000000</v>
      </c>
      <c r="H184" s="1061">
        <f t="shared" si="143"/>
        <v>61291800</v>
      </c>
      <c r="I184" s="1061">
        <f t="shared" si="144"/>
        <v>18708200</v>
      </c>
      <c r="J184" s="1069">
        <v>0</v>
      </c>
      <c r="K184" s="1135">
        <v>1</v>
      </c>
      <c r="L184" s="1115">
        <v>30</v>
      </c>
      <c r="M184" s="1115">
        <v>7</v>
      </c>
      <c r="N184" s="1115">
        <v>100</v>
      </c>
      <c r="O184" s="1115">
        <v>7</v>
      </c>
      <c r="P184" s="1115">
        <v>64</v>
      </c>
      <c r="Q184" s="1115">
        <v>100</v>
      </c>
      <c r="R184" s="1115">
        <v>64</v>
      </c>
      <c r="S184" s="1120"/>
      <c r="T184" s="1120"/>
      <c r="U184" s="1120"/>
      <c r="V184" s="1120"/>
      <c r="W184" s="1120"/>
      <c r="X184" s="1120"/>
      <c r="Y184" s="1008">
        <f t="shared" si="173"/>
        <v>80000000</v>
      </c>
      <c r="Z184" s="944"/>
      <c r="AA184" s="1008"/>
      <c r="AB184" s="1008"/>
      <c r="AC184" s="1008"/>
      <c r="AD184" s="1008"/>
      <c r="AE184" s="1008">
        <v>80000000</v>
      </c>
      <c r="AF184" s="1008"/>
      <c r="AG184" s="1008"/>
      <c r="AH184" s="1008"/>
      <c r="AI184" s="1008"/>
      <c r="AJ184" s="1008"/>
      <c r="AK184" s="1008"/>
      <c r="AL184" s="1008"/>
      <c r="AM184" s="1008"/>
      <c r="AN184" s="1008"/>
      <c r="AO184" s="1008"/>
      <c r="AP184" s="1008"/>
      <c r="AQ184" s="1008"/>
      <c r="AR184" s="1008"/>
      <c r="AS184" s="1008"/>
      <c r="AU184" s="1011">
        <f t="shared" si="180"/>
        <v>0.88364750000000003</v>
      </c>
      <c r="AV184" s="1008">
        <f t="shared" si="174"/>
        <v>70691800</v>
      </c>
      <c r="AW184" s="1008"/>
      <c r="AX184" s="1008"/>
      <c r="AY184" s="1008"/>
      <c r="AZ184" s="1008"/>
      <c r="BA184" s="1008"/>
      <c r="BB184" s="1008">
        <f>+'[17]SEPTIEMBRE 2015'!$O$2797</f>
        <v>70691800</v>
      </c>
      <c r="BC184" s="1008"/>
      <c r="BD184" s="1008"/>
      <c r="BE184" s="1008"/>
      <c r="BF184" s="1008"/>
      <c r="BG184" s="1008"/>
      <c r="BH184" s="1008"/>
      <c r="BI184" s="1008"/>
      <c r="BJ184" s="1008"/>
      <c r="BK184" s="1008"/>
      <c r="BL184" s="1008"/>
      <c r="BM184" s="1008"/>
      <c r="BN184" s="1008"/>
      <c r="BO184" s="1008"/>
      <c r="BP184" s="1008"/>
      <c r="BQ184" s="1011">
        <f t="shared" si="181"/>
        <v>0.11635249999999997</v>
      </c>
      <c r="BR184" s="1008">
        <f t="shared" si="175"/>
        <v>9308200</v>
      </c>
      <c r="BS184" s="1008">
        <f t="shared" si="182"/>
        <v>0</v>
      </c>
      <c r="BT184" s="1008">
        <f t="shared" si="183"/>
        <v>0</v>
      </c>
      <c r="BU184" s="1008"/>
      <c r="BV184" s="1008">
        <f t="shared" si="162"/>
        <v>0</v>
      </c>
      <c r="BW184" s="1008">
        <f t="shared" si="162"/>
        <v>0</v>
      </c>
      <c r="BX184" s="1008">
        <f t="shared" si="184"/>
        <v>9308200</v>
      </c>
      <c r="BY184" s="1008">
        <f t="shared" si="184"/>
        <v>0</v>
      </c>
      <c r="BZ184" s="1008"/>
      <c r="CA184" s="1008">
        <f t="shared" si="185"/>
        <v>0</v>
      </c>
      <c r="CB184" s="1008">
        <f t="shared" si="185"/>
        <v>0</v>
      </c>
      <c r="CC184" s="1008">
        <f t="shared" si="185"/>
        <v>0</v>
      </c>
      <c r="CD184" s="1008">
        <f t="shared" si="185"/>
        <v>0</v>
      </c>
      <c r="CE184" s="1008">
        <f t="shared" si="185"/>
        <v>0</v>
      </c>
      <c r="CF184" s="1008">
        <f t="shared" si="185"/>
        <v>0</v>
      </c>
      <c r="CG184" s="1008">
        <f t="shared" si="185"/>
        <v>0</v>
      </c>
      <c r="CH184" s="1008">
        <f t="shared" si="185"/>
        <v>0</v>
      </c>
      <c r="CI184" s="1008">
        <f t="shared" si="185"/>
        <v>0</v>
      </c>
      <c r="CJ184" s="1008"/>
      <c r="CK184" s="1008"/>
      <c r="CL184" s="1008">
        <f t="shared" si="186"/>
        <v>0</v>
      </c>
      <c r="CM184" s="1011">
        <f t="shared" si="187"/>
        <v>0.76614749999999998</v>
      </c>
      <c r="CN184" s="1008">
        <f t="shared" si="176"/>
        <v>61291800</v>
      </c>
      <c r="CO184" s="1008"/>
      <c r="CP184" s="1008"/>
      <c r="CQ184" s="1008"/>
      <c r="CR184" s="1008"/>
      <c r="CS184" s="1008"/>
      <c r="CT184" s="1008">
        <f>+'[17]SEPTIEMBRE 2015'!$H$2795</f>
        <v>61291800</v>
      </c>
      <c r="CU184" s="1008"/>
      <c r="CV184" s="1008"/>
      <c r="CW184" s="1008"/>
      <c r="CX184" s="1008"/>
      <c r="CY184" s="1008"/>
      <c r="CZ184" s="1008"/>
      <c r="DA184" s="1008"/>
      <c r="DB184" s="1008"/>
      <c r="DC184" s="1008"/>
      <c r="DD184" s="1008"/>
      <c r="DE184" s="1008"/>
      <c r="DF184" s="1008"/>
      <c r="DG184" s="1008"/>
      <c r="DH184" s="1008"/>
      <c r="DI184" s="1011">
        <f t="shared" si="188"/>
        <v>0.23385250000000002</v>
      </c>
      <c r="DJ184" s="1008">
        <f t="shared" si="177"/>
        <v>18708200</v>
      </c>
      <c r="DK184" s="1008"/>
      <c r="DL184" s="1008"/>
      <c r="DM184" s="1008"/>
      <c r="DN184" s="1008">
        <f t="shared" si="163"/>
        <v>0</v>
      </c>
      <c r="DO184" s="1008">
        <f t="shared" si="163"/>
        <v>0</v>
      </c>
      <c r="DP184" s="1008">
        <f t="shared" si="163"/>
        <v>18708200</v>
      </c>
      <c r="DQ184" s="1008">
        <f t="shared" si="163"/>
        <v>0</v>
      </c>
      <c r="DR184" s="1008"/>
      <c r="DS184" s="1008">
        <f t="shared" si="189"/>
        <v>0</v>
      </c>
      <c r="DT184" s="1008">
        <f t="shared" si="189"/>
        <v>0</v>
      </c>
      <c r="DU184" s="1008"/>
      <c r="DV184" s="1008">
        <f t="shared" si="190"/>
        <v>0</v>
      </c>
      <c r="DW184" s="1008">
        <f t="shared" si="190"/>
        <v>0</v>
      </c>
      <c r="DX184" s="1008">
        <f t="shared" si="190"/>
        <v>0</v>
      </c>
      <c r="DY184" s="1008">
        <f t="shared" si="191"/>
        <v>0</v>
      </c>
      <c r="DZ184" s="1008">
        <f t="shared" si="191"/>
        <v>0</v>
      </c>
      <c r="EA184" s="1008">
        <f t="shared" si="191"/>
        <v>0</v>
      </c>
      <c r="EB184" s="1008">
        <f t="shared" si="191"/>
        <v>0</v>
      </c>
      <c r="EC184" s="1008">
        <f t="shared" si="191"/>
        <v>0</v>
      </c>
      <c r="ED184" s="1008">
        <f t="shared" si="191"/>
        <v>0</v>
      </c>
    </row>
    <row r="185" spans="1:134" ht="24.75" hidden="1" customHeight="1" x14ac:dyDescent="0.25">
      <c r="A185" s="1560"/>
      <c r="B185" s="989" t="s">
        <v>4453</v>
      </c>
      <c r="C185" s="1635" t="s">
        <v>4647</v>
      </c>
      <c r="D185" s="1019" t="s">
        <v>4694</v>
      </c>
      <c r="E185" s="994">
        <v>510</v>
      </c>
      <c r="F185" s="1120" t="s">
        <v>4482</v>
      </c>
      <c r="G185" s="1399">
        <v>120000000</v>
      </c>
      <c r="H185" s="1061">
        <f t="shared" si="143"/>
        <v>0</v>
      </c>
      <c r="I185" s="1061">
        <f t="shared" si="144"/>
        <v>1000000</v>
      </c>
      <c r="J185" s="1120">
        <v>0</v>
      </c>
      <c r="K185" s="1135">
        <v>1</v>
      </c>
      <c r="L185" s="1115">
        <v>100</v>
      </c>
      <c r="M185" s="1115">
        <v>0</v>
      </c>
      <c r="N185" s="1115">
        <v>0</v>
      </c>
      <c r="O185" s="1115">
        <v>0</v>
      </c>
      <c r="P185" s="1115">
        <v>0</v>
      </c>
      <c r="Q185" s="1115">
        <v>0</v>
      </c>
      <c r="R185" s="1115">
        <v>0</v>
      </c>
      <c r="S185" s="1120"/>
      <c r="T185" s="1120"/>
      <c r="U185" s="1120"/>
      <c r="V185" s="1120"/>
      <c r="W185" s="1120"/>
      <c r="X185" s="1120"/>
      <c r="Y185" s="1008">
        <f t="shared" si="173"/>
        <v>1000000</v>
      </c>
      <c r="Z185" s="944"/>
      <c r="AA185" s="1008"/>
      <c r="AB185" s="1008"/>
      <c r="AC185" s="1008"/>
      <c r="AD185" s="1008"/>
      <c r="AE185" s="1008">
        <v>1000000</v>
      </c>
      <c r="AF185" s="1008"/>
      <c r="AG185" s="1008"/>
      <c r="AH185" s="1008"/>
      <c r="AI185" s="1008"/>
      <c r="AJ185" s="1008"/>
      <c r="AK185" s="1008"/>
      <c r="AL185" s="1008"/>
      <c r="AM185" s="1008"/>
      <c r="AN185" s="1008"/>
      <c r="AO185" s="1008"/>
      <c r="AP185" s="1008"/>
      <c r="AQ185" s="1008"/>
      <c r="AR185" s="1008"/>
      <c r="AS185" s="1008"/>
      <c r="AU185" s="1011">
        <f t="shared" si="180"/>
        <v>0</v>
      </c>
      <c r="AV185" s="1008">
        <f t="shared" si="174"/>
        <v>0</v>
      </c>
      <c r="AW185" s="1008"/>
      <c r="AX185" s="1008"/>
      <c r="AY185" s="1008"/>
      <c r="AZ185" s="1008"/>
      <c r="BA185" s="1008"/>
      <c r="BB185" s="1008"/>
      <c r="BC185" s="1008"/>
      <c r="BD185" s="1008"/>
      <c r="BE185" s="1008"/>
      <c r="BF185" s="1008"/>
      <c r="BG185" s="1008"/>
      <c r="BH185" s="1008"/>
      <c r="BI185" s="1008"/>
      <c r="BJ185" s="1008"/>
      <c r="BK185" s="1008"/>
      <c r="BL185" s="1008"/>
      <c r="BM185" s="1008"/>
      <c r="BN185" s="1008"/>
      <c r="BO185" s="1008"/>
      <c r="BP185" s="1008"/>
      <c r="BQ185" s="1011">
        <f t="shared" si="181"/>
        <v>1</v>
      </c>
      <c r="BR185" s="1008">
        <f t="shared" si="175"/>
        <v>1000000</v>
      </c>
      <c r="BS185" s="1008">
        <f t="shared" si="182"/>
        <v>0</v>
      </c>
      <c r="BT185" s="1008">
        <f t="shared" si="183"/>
        <v>0</v>
      </c>
      <c r="BU185" s="1008"/>
      <c r="BV185" s="1008">
        <f t="shared" si="162"/>
        <v>0</v>
      </c>
      <c r="BW185" s="1008">
        <f t="shared" si="162"/>
        <v>0</v>
      </c>
      <c r="BX185" s="1008">
        <f t="shared" si="184"/>
        <v>1000000</v>
      </c>
      <c r="BY185" s="1008">
        <f t="shared" si="184"/>
        <v>0</v>
      </c>
      <c r="BZ185" s="1008"/>
      <c r="CA185" s="1008">
        <f t="shared" si="185"/>
        <v>0</v>
      </c>
      <c r="CB185" s="1008">
        <f t="shared" si="185"/>
        <v>0</v>
      </c>
      <c r="CC185" s="1008">
        <f t="shared" si="185"/>
        <v>0</v>
      </c>
      <c r="CD185" s="1008">
        <f t="shared" si="185"/>
        <v>0</v>
      </c>
      <c r="CE185" s="1008">
        <f t="shared" si="185"/>
        <v>0</v>
      </c>
      <c r="CF185" s="1008">
        <f t="shared" si="185"/>
        <v>0</v>
      </c>
      <c r="CG185" s="1008">
        <f t="shared" si="185"/>
        <v>0</v>
      </c>
      <c r="CH185" s="1008">
        <f t="shared" si="185"/>
        <v>0</v>
      </c>
      <c r="CI185" s="1008">
        <f t="shared" si="185"/>
        <v>0</v>
      </c>
      <c r="CJ185" s="1008"/>
      <c r="CK185" s="1008"/>
      <c r="CL185" s="1008">
        <f t="shared" si="186"/>
        <v>0</v>
      </c>
      <c r="CM185" s="1011">
        <f t="shared" si="187"/>
        <v>0</v>
      </c>
      <c r="CN185" s="1008">
        <f t="shared" si="176"/>
        <v>0</v>
      </c>
      <c r="CO185" s="1008"/>
      <c r="CP185" s="1008"/>
      <c r="CQ185" s="1008"/>
      <c r="CR185" s="1008"/>
      <c r="CS185" s="1008"/>
      <c r="CT185" s="1008"/>
      <c r="CU185" s="1008"/>
      <c r="CV185" s="1008"/>
      <c r="CW185" s="1008"/>
      <c r="CX185" s="1008"/>
      <c r="CY185" s="1008"/>
      <c r="CZ185" s="1008"/>
      <c r="DA185" s="1008"/>
      <c r="DB185" s="1008"/>
      <c r="DC185" s="1008"/>
      <c r="DD185" s="1008"/>
      <c r="DE185" s="1008"/>
      <c r="DF185" s="1008"/>
      <c r="DG185" s="1008"/>
      <c r="DH185" s="1008"/>
      <c r="DI185" s="1011">
        <f t="shared" si="188"/>
        <v>1</v>
      </c>
      <c r="DJ185" s="1008">
        <f t="shared" si="177"/>
        <v>1000000</v>
      </c>
      <c r="DK185" s="1008"/>
      <c r="DL185" s="1008"/>
      <c r="DM185" s="1008"/>
      <c r="DN185" s="1008">
        <f t="shared" si="163"/>
        <v>0</v>
      </c>
      <c r="DO185" s="1008">
        <f t="shared" si="163"/>
        <v>0</v>
      </c>
      <c r="DP185" s="1008">
        <f t="shared" si="163"/>
        <v>1000000</v>
      </c>
      <c r="DQ185" s="1008">
        <f t="shared" si="163"/>
        <v>0</v>
      </c>
      <c r="DR185" s="1008"/>
      <c r="DS185" s="1008">
        <f t="shared" si="189"/>
        <v>0</v>
      </c>
      <c r="DT185" s="1008">
        <f t="shared" si="189"/>
        <v>0</v>
      </c>
      <c r="DU185" s="1008"/>
      <c r="DV185" s="1008">
        <f t="shared" si="190"/>
        <v>0</v>
      </c>
      <c r="DW185" s="1008">
        <f t="shared" si="190"/>
        <v>0</v>
      </c>
      <c r="DX185" s="1008">
        <f t="shared" si="190"/>
        <v>0</v>
      </c>
      <c r="DY185" s="1008">
        <f t="shared" si="191"/>
        <v>0</v>
      </c>
      <c r="DZ185" s="1008">
        <f t="shared" si="191"/>
        <v>0</v>
      </c>
      <c r="EA185" s="1008">
        <f t="shared" si="191"/>
        <v>0</v>
      </c>
      <c r="EB185" s="1008">
        <f t="shared" si="191"/>
        <v>0</v>
      </c>
      <c r="EC185" s="1008">
        <f t="shared" si="191"/>
        <v>0</v>
      </c>
      <c r="ED185" s="1008">
        <f t="shared" si="191"/>
        <v>0</v>
      </c>
    </row>
    <row r="186" spans="1:134" ht="24" hidden="1" customHeight="1" x14ac:dyDescent="0.25">
      <c r="A186" s="1560"/>
      <c r="B186" s="989"/>
      <c r="C186" s="1635" t="s">
        <v>4648</v>
      </c>
      <c r="D186" s="1019" t="s">
        <v>4695</v>
      </c>
      <c r="E186" s="994">
        <v>510</v>
      </c>
      <c r="F186" s="1120" t="s">
        <v>4482</v>
      </c>
      <c r="G186" s="1400"/>
      <c r="H186" s="1061">
        <f t="shared" si="143"/>
        <v>0</v>
      </c>
      <c r="I186" s="1061">
        <f t="shared" si="144"/>
        <v>5000000</v>
      </c>
      <c r="J186" s="1270">
        <v>0</v>
      </c>
      <c r="K186" s="1586">
        <v>1</v>
      </c>
      <c r="L186" s="1305">
        <v>100</v>
      </c>
      <c r="M186" s="1115">
        <v>0</v>
      </c>
      <c r="N186" s="1115">
        <v>0</v>
      </c>
      <c r="O186" s="1115">
        <v>0</v>
      </c>
      <c r="P186" s="1115">
        <v>0</v>
      </c>
      <c r="Q186" s="1115">
        <v>0</v>
      </c>
      <c r="R186" s="1115">
        <v>0</v>
      </c>
      <c r="S186" s="1120"/>
      <c r="T186" s="1120"/>
      <c r="U186" s="1120"/>
      <c r="V186" s="1120"/>
      <c r="W186" s="1120"/>
      <c r="X186" s="1120"/>
      <c r="Y186" s="1008">
        <f t="shared" si="173"/>
        <v>5000000</v>
      </c>
      <c r="Z186" s="944"/>
      <c r="AA186" s="1008"/>
      <c r="AB186" s="1008"/>
      <c r="AC186" s="1008"/>
      <c r="AD186" s="1008"/>
      <c r="AE186" s="1008">
        <v>5000000</v>
      </c>
      <c r="AF186" s="1008"/>
      <c r="AG186" s="1008"/>
      <c r="AH186" s="1008"/>
      <c r="AI186" s="1008"/>
      <c r="AJ186" s="1008"/>
      <c r="AK186" s="1008"/>
      <c r="AL186" s="1008"/>
      <c r="AM186" s="1008"/>
      <c r="AN186" s="1008"/>
      <c r="AO186" s="1008"/>
      <c r="AP186" s="1008"/>
      <c r="AQ186" s="1008"/>
      <c r="AR186" s="1008"/>
      <c r="AS186" s="1008"/>
      <c r="AU186" s="1011">
        <f t="shared" si="180"/>
        <v>0</v>
      </c>
      <c r="AV186" s="1008">
        <f t="shared" si="174"/>
        <v>0</v>
      </c>
      <c r="AW186" s="1008"/>
      <c r="AX186" s="1008"/>
      <c r="AY186" s="1008"/>
      <c r="AZ186" s="1008"/>
      <c r="BA186" s="1008"/>
      <c r="BB186" s="1008"/>
      <c r="BC186" s="1008"/>
      <c r="BD186" s="1008"/>
      <c r="BE186" s="1008"/>
      <c r="BF186" s="1008"/>
      <c r="BG186" s="1008"/>
      <c r="BH186" s="1008"/>
      <c r="BI186" s="1008"/>
      <c r="BJ186" s="1008"/>
      <c r="BK186" s="1008"/>
      <c r="BL186" s="1008"/>
      <c r="BM186" s="1008"/>
      <c r="BN186" s="1008"/>
      <c r="BO186" s="1008"/>
      <c r="BP186" s="1008"/>
      <c r="BQ186" s="1011">
        <f t="shared" si="181"/>
        <v>1</v>
      </c>
      <c r="BR186" s="1008">
        <f t="shared" si="175"/>
        <v>5000000</v>
      </c>
      <c r="BS186" s="1008">
        <f t="shared" si="182"/>
        <v>0</v>
      </c>
      <c r="BT186" s="1008">
        <f t="shared" si="183"/>
        <v>0</v>
      </c>
      <c r="BU186" s="1008"/>
      <c r="BV186" s="1008">
        <f t="shared" si="162"/>
        <v>0</v>
      </c>
      <c r="BW186" s="1008">
        <f t="shared" si="162"/>
        <v>0</v>
      </c>
      <c r="BX186" s="1008">
        <f t="shared" si="184"/>
        <v>5000000</v>
      </c>
      <c r="BY186" s="1008">
        <f t="shared" si="184"/>
        <v>0</v>
      </c>
      <c r="BZ186" s="1008"/>
      <c r="CA186" s="1008">
        <f t="shared" si="185"/>
        <v>0</v>
      </c>
      <c r="CB186" s="1008">
        <f t="shared" si="185"/>
        <v>0</v>
      </c>
      <c r="CC186" s="1008">
        <f t="shared" si="185"/>
        <v>0</v>
      </c>
      <c r="CD186" s="1008">
        <f t="shared" si="185"/>
        <v>0</v>
      </c>
      <c r="CE186" s="1008">
        <f t="shared" si="185"/>
        <v>0</v>
      </c>
      <c r="CF186" s="1008">
        <f t="shared" si="185"/>
        <v>0</v>
      </c>
      <c r="CG186" s="1008">
        <f t="shared" si="185"/>
        <v>0</v>
      </c>
      <c r="CH186" s="1008">
        <f t="shared" si="185"/>
        <v>0</v>
      </c>
      <c r="CI186" s="1008">
        <f t="shared" si="185"/>
        <v>0</v>
      </c>
      <c r="CJ186" s="1008"/>
      <c r="CK186" s="1008"/>
      <c r="CL186" s="1008">
        <f t="shared" si="186"/>
        <v>0</v>
      </c>
      <c r="CM186" s="1011">
        <f t="shared" si="187"/>
        <v>0</v>
      </c>
      <c r="CN186" s="1008">
        <f t="shared" si="176"/>
        <v>0</v>
      </c>
      <c r="CO186" s="1008"/>
      <c r="CP186" s="1008"/>
      <c r="CQ186" s="1008"/>
      <c r="CR186" s="1008"/>
      <c r="CS186" s="1008"/>
      <c r="CT186" s="1008"/>
      <c r="CU186" s="1008"/>
      <c r="CV186" s="1008"/>
      <c r="CW186" s="1008"/>
      <c r="CX186" s="1008"/>
      <c r="CY186" s="1008"/>
      <c r="CZ186" s="1008"/>
      <c r="DA186" s="1008"/>
      <c r="DB186" s="1008"/>
      <c r="DC186" s="1008"/>
      <c r="DD186" s="1008"/>
      <c r="DE186" s="1008"/>
      <c r="DF186" s="1008"/>
      <c r="DG186" s="1008"/>
      <c r="DH186" s="1008"/>
      <c r="DI186" s="1011">
        <f t="shared" si="188"/>
        <v>1</v>
      </c>
      <c r="DJ186" s="1008">
        <f t="shared" si="177"/>
        <v>5000000</v>
      </c>
      <c r="DK186" s="1008"/>
      <c r="DL186" s="1008"/>
      <c r="DM186" s="1008"/>
      <c r="DN186" s="1008">
        <f t="shared" si="163"/>
        <v>0</v>
      </c>
      <c r="DO186" s="1008">
        <f t="shared" si="163"/>
        <v>0</v>
      </c>
      <c r="DP186" s="1008">
        <f t="shared" si="163"/>
        <v>5000000</v>
      </c>
      <c r="DQ186" s="1008">
        <f t="shared" si="163"/>
        <v>0</v>
      </c>
      <c r="DR186" s="1008"/>
      <c r="DS186" s="1008">
        <f t="shared" si="189"/>
        <v>0</v>
      </c>
      <c r="DT186" s="1008">
        <f t="shared" si="189"/>
        <v>0</v>
      </c>
      <c r="DU186" s="1008"/>
      <c r="DV186" s="1008">
        <f t="shared" si="190"/>
        <v>0</v>
      </c>
      <c r="DW186" s="1008">
        <f t="shared" si="190"/>
        <v>0</v>
      </c>
      <c r="DX186" s="1008">
        <f t="shared" si="190"/>
        <v>0</v>
      </c>
      <c r="DY186" s="1008">
        <f t="shared" si="191"/>
        <v>0</v>
      </c>
      <c r="DZ186" s="1008">
        <f t="shared" si="191"/>
        <v>0</v>
      </c>
      <c r="EA186" s="1008">
        <f t="shared" si="191"/>
        <v>0</v>
      </c>
      <c r="EB186" s="1008">
        <f t="shared" si="191"/>
        <v>0</v>
      </c>
      <c r="EC186" s="1008">
        <f t="shared" si="191"/>
        <v>0</v>
      </c>
      <c r="ED186" s="1008">
        <f t="shared" si="191"/>
        <v>0</v>
      </c>
    </row>
    <row r="187" spans="1:134" ht="51" hidden="1" customHeight="1" x14ac:dyDescent="0.25">
      <c r="A187" s="1560"/>
      <c r="B187" s="989"/>
      <c r="C187" s="1635" t="s">
        <v>4649</v>
      </c>
      <c r="D187" s="1019" t="s">
        <v>4645</v>
      </c>
      <c r="E187" s="994">
        <v>510</v>
      </c>
      <c r="F187" s="1120" t="s">
        <v>4482</v>
      </c>
      <c r="G187" s="1400"/>
      <c r="H187" s="1061">
        <f t="shared" si="143"/>
        <v>77930000</v>
      </c>
      <c r="I187" s="1061">
        <f t="shared" si="144"/>
        <v>33070000</v>
      </c>
      <c r="J187" s="1270"/>
      <c r="K187" s="1586"/>
      <c r="L187" s="1305"/>
      <c r="M187" s="1115">
        <v>0</v>
      </c>
      <c r="N187" s="1115">
        <v>0</v>
      </c>
      <c r="O187" s="1115">
        <v>0</v>
      </c>
      <c r="P187" s="1115">
        <v>0</v>
      </c>
      <c r="Q187" s="1115">
        <v>0</v>
      </c>
      <c r="R187" s="1115">
        <v>0</v>
      </c>
      <c r="S187" s="1120"/>
      <c r="T187" s="1120"/>
      <c r="U187" s="1120"/>
      <c r="V187" s="1120"/>
      <c r="W187" s="1120"/>
      <c r="X187" s="1120"/>
      <c r="Y187" s="1008">
        <f t="shared" si="173"/>
        <v>111000000</v>
      </c>
      <c r="Z187" s="944"/>
      <c r="AA187" s="1008"/>
      <c r="AB187" s="1008"/>
      <c r="AC187" s="1008"/>
      <c r="AD187" s="1008"/>
      <c r="AE187" s="1008">
        <v>111000000</v>
      </c>
      <c r="AF187" s="1008"/>
      <c r="AG187" s="1008"/>
      <c r="AH187" s="1008"/>
      <c r="AI187" s="1008"/>
      <c r="AJ187" s="1008"/>
      <c r="AK187" s="1008"/>
      <c r="AL187" s="1008"/>
      <c r="AM187" s="1008"/>
      <c r="AN187" s="1008"/>
      <c r="AO187" s="1008"/>
      <c r="AP187" s="1008"/>
      <c r="AQ187" s="1008"/>
      <c r="AR187" s="1008"/>
      <c r="AS187" s="1008"/>
      <c r="AU187" s="1011">
        <f t="shared" si="180"/>
        <v>1</v>
      </c>
      <c r="AV187" s="1008">
        <f t="shared" si="174"/>
        <v>111000000</v>
      </c>
      <c r="AW187" s="1008"/>
      <c r="AX187" s="1008"/>
      <c r="AY187" s="1008"/>
      <c r="AZ187" s="1008"/>
      <c r="BA187" s="1008"/>
      <c r="BB187" s="1008">
        <f>+'[18]OCTUBRE 2015'!$O$3273</f>
        <v>111000000</v>
      </c>
      <c r="BC187" s="1008"/>
      <c r="BD187" s="1008"/>
      <c r="BE187" s="1008"/>
      <c r="BF187" s="1008"/>
      <c r="BG187" s="1008"/>
      <c r="BH187" s="1008"/>
      <c r="BI187" s="1008"/>
      <c r="BJ187" s="1008"/>
      <c r="BK187" s="1008"/>
      <c r="BL187" s="1008"/>
      <c r="BM187" s="1008"/>
      <c r="BN187" s="1008"/>
      <c r="BO187" s="1008"/>
      <c r="BP187" s="1008"/>
      <c r="BQ187" s="1011">
        <f t="shared" si="181"/>
        <v>0</v>
      </c>
      <c r="BR187" s="1008">
        <f t="shared" si="175"/>
        <v>0</v>
      </c>
      <c r="BS187" s="1008">
        <f t="shared" si="182"/>
        <v>0</v>
      </c>
      <c r="BT187" s="1008">
        <f t="shared" si="183"/>
        <v>0</v>
      </c>
      <c r="BU187" s="1008"/>
      <c r="BV187" s="1008">
        <f t="shared" si="162"/>
        <v>0</v>
      </c>
      <c r="BW187" s="1008">
        <f t="shared" si="162"/>
        <v>0</v>
      </c>
      <c r="BX187" s="1008">
        <f t="shared" si="184"/>
        <v>0</v>
      </c>
      <c r="BY187" s="1008">
        <f t="shared" si="184"/>
        <v>0</v>
      </c>
      <c r="BZ187" s="1008"/>
      <c r="CA187" s="1008">
        <f t="shared" si="185"/>
        <v>0</v>
      </c>
      <c r="CB187" s="1008">
        <f t="shared" si="185"/>
        <v>0</v>
      </c>
      <c r="CC187" s="1008">
        <f t="shared" si="185"/>
        <v>0</v>
      </c>
      <c r="CD187" s="1008">
        <f t="shared" si="185"/>
        <v>0</v>
      </c>
      <c r="CE187" s="1008">
        <f t="shared" si="185"/>
        <v>0</v>
      </c>
      <c r="CF187" s="1008">
        <f t="shared" si="185"/>
        <v>0</v>
      </c>
      <c r="CG187" s="1008">
        <f t="shared" si="185"/>
        <v>0</v>
      </c>
      <c r="CH187" s="1008">
        <f t="shared" si="185"/>
        <v>0</v>
      </c>
      <c r="CI187" s="1008">
        <f t="shared" si="185"/>
        <v>0</v>
      </c>
      <c r="CJ187" s="1008"/>
      <c r="CK187" s="1008"/>
      <c r="CL187" s="1008">
        <f t="shared" si="186"/>
        <v>0</v>
      </c>
      <c r="CM187" s="1011">
        <f t="shared" si="187"/>
        <v>0.70207207207207212</v>
      </c>
      <c r="CN187" s="1008">
        <f t="shared" si="176"/>
        <v>77930000</v>
      </c>
      <c r="CO187" s="1008"/>
      <c r="CP187" s="1008"/>
      <c r="CQ187" s="1008"/>
      <c r="CR187" s="1008"/>
      <c r="CS187" s="1008"/>
      <c r="CT187" s="1008">
        <f>+'[18]OCTUBRE 2015'!$H$3271</f>
        <v>77930000</v>
      </c>
      <c r="CU187" s="1008"/>
      <c r="CV187" s="1008"/>
      <c r="CW187" s="1008"/>
      <c r="CX187" s="1008"/>
      <c r="CY187" s="1008"/>
      <c r="CZ187" s="1008"/>
      <c r="DA187" s="1008"/>
      <c r="DB187" s="1008"/>
      <c r="DC187" s="1008"/>
      <c r="DD187" s="1008"/>
      <c r="DE187" s="1008"/>
      <c r="DF187" s="1008"/>
      <c r="DG187" s="1008"/>
      <c r="DH187" s="1008"/>
      <c r="DI187" s="1011">
        <f t="shared" si="188"/>
        <v>0.29792792792792788</v>
      </c>
      <c r="DJ187" s="1008">
        <f t="shared" si="177"/>
        <v>33070000</v>
      </c>
      <c r="DK187" s="1008"/>
      <c r="DL187" s="1008"/>
      <c r="DM187" s="1008"/>
      <c r="DN187" s="1008">
        <f t="shared" si="163"/>
        <v>0</v>
      </c>
      <c r="DO187" s="1008">
        <f t="shared" si="163"/>
        <v>0</v>
      </c>
      <c r="DP187" s="1008">
        <f t="shared" si="163"/>
        <v>33070000</v>
      </c>
      <c r="DQ187" s="1008">
        <f t="shared" si="163"/>
        <v>0</v>
      </c>
      <c r="DR187" s="1008"/>
      <c r="DS187" s="1008">
        <f t="shared" si="189"/>
        <v>0</v>
      </c>
      <c r="DT187" s="1008">
        <f t="shared" si="189"/>
        <v>0</v>
      </c>
      <c r="DU187" s="1008"/>
      <c r="DV187" s="1008">
        <f t="shared" si="190"/>
        <v>0</v>
      </c>
      <c r="DW187" s="1008">
        <f t="shared" si="190"/>
        <v>0</v>
      </c>
      <c r="DX187" s="1008">
        <f t="shared" si="190"/>
        <v>0</v>
      </c>
      <c r="DY187" s="1008">
        <f t="shared" si="191"/>
        <v>0</v>
      </c>
      <c r="DZ187" s="1008">
        <f t="shared" si="191"/>
        <v>0</v>
      </c>
      <c r="EA187" s="1008">
        <f t="shared" si="191"/>
        <v>0</v>
      </c>
      <c r="EB187" s="1008">
        <f t="shared" si="191"/>
        <v>0</v>
      </c>
      <c r="EC187" s="1008">
        <f t="shared" si="191"/>
        <v>0</v>
      </c>
      <c r="ED187" s="1008">
        <f t="shared" si="191"/>
        <v>0</v>
      </c>
    </row>
    <row r="188" spans="1:134" ht="34.5" hidden="1" customHeight="1" x14ac:dyDescent="0.25">
      <c r="A188" s="1560"/>
      <c r="B188" s="989"/>
      <c r="C188" s="1635" t="s">
        <v>4650</v>
      </c>
      <c r="D188" s="1019" t="s">
        <v>4646</v>
      </c>
      <c r="E188" s="994">
        <v>510</v>
      </c>
      <c r="F188" s="1120" t="s">
        <v>4482</v>
      </c>
      <c r="G188" s="1400"/>
      <c r="H188" s="1061">
        <f t="shared" si="143"/>
        <v>0</v>
      </c>
      <c r="I188" s="1061">
        <f t="shared" si="144"/>
        <v>3000000</v>
      </c>
      <c r="J188" s="1270">
        <v>0</v>
      </c>
      <c r="K188" s="1586">
        <v>1</v>
      </c>
      <c r="L188" s="1305">
        <v>50</v>
      </c>
      <c r="M188" s="1115">
        <v>0</v>
      </c>
      <c r="N188" s="1115">
        <v>0</v>
      </c>
      <c r="O188" s="1115">
        <v>0</v>
      </c>
      <c r="P188" s="1115">
        <v>0</v>
      </c>
      <c r="Q188" s="1115">
        <v>0</v>
      </c>
      <c r="R188" s="1115">
        <v>0</v>
      </c>
      <c r="S188" s="1120"/>
      <c r="T188" s="1120"/>
      <c r="U188" s="1120"/>
      <c r="V188" s="1120"/>
      <c r="W188" s="1120"/>
      <c r="X188" s="1120"/>
      <c r="Y188" s="1008">
        <f t="shared" si="173"/>
        <v>3000000</v>
      </c>
      <c r="Z188" s="944"/>
      <c r="AA188" s="1008"/>
      <c r="AB188" s="1008"/>
      <c r="AC188" s="1008"/>
      <c r="AD188" s="1008"/>
      <c r="AE188" s="1008">
        <v>3000000</v>
      </c>
      <c r="AF188" s="1008"/>
      <c r="AG188" s="1008"/>
      <c r="AH188" s="1008"/>
      <c r="AI188" s="1008"/>
      <c r="AJ188" s="1008"/>
      <c r="AK188" s="1008"/>
      <c r="AL188" s="1008"/>
      <c r="AM188" s="1008"/>
      <c r="AN188" s="1008"/>
      <c r="AO188" s="1008"/>
      <c r="AP188" s="1008"/>
      <c r="AQ188" s="1008"/>
      <c r="AR188" s="1008"/>
      <c r="AS188" s="1008"/>
      <c r="AU188" s="1011">
        <f t="shared" si="180"/>
        <v>0</v>
      </c>
      <c r="AV188" s="1008">
        <f t="shared" si="174"/>
        <v>0</v>
      </c>
      <c r="AW188" s="1008"/>
      <c r="AX188" s="1008"/>
      <c r="AY188" s="1008"/>
      <c r="AZ188" s="1008"/>
      <c r="BA188" s="1008"/>
      <c r="BB188" s="1008"/>
      <c r="BC188" s="1008"/>
      <c r="BD188" s="1008"/>
      <c r="BE188" s="1008"/>
      <c r="BF188" s="1008"/>
      <c r="BG188" s="1008"/>
      <c r="BH188" s="1008"/>
      <c r="BI188" s="1008"/>
      <c r="BJ188" s="1008"/>
      <c r="BK188" s="1008"/>
      <c r="BL188" s="1008"/>
      <c r="BM188" s="1008"/>
      <c r="BN188" s="1008"/>
      <c r="BO188" s="1008"/>
      <c r="BP188" s="1008"/>
      <c r="BQ188" s="1011">
        <f t="shared" si="181"/>
        <v>1</v>
      </c>
      <c r="BR188" s="1008">
        <f t="shared" si="175"/>
        <v>3000000</v>
      </c>
      <c r="BS188" s="1008">
        <f t="shared" si="182"/>
        <v>0</v>
      </c>
      <c r="BT188" s="1008">
        <f t="shared" si="183"/>
        <v>0</v>
      </c>
      <c r="BU188" s="1008"/>
      <c r="BV188" s="1008">
        <f t="shared" si="162"/>
        <v>0</v>
      </c>
      <c r="BW188" s="1008">
        <f t="shared" si="162"/>
        <v>0</v>
      </c>
      <c r="BX188" s="1008">
        <f t="shared" si="184"/>
        <v>3000000</v>
      </c>
      <c r="BY188" s="1008">
        <f t="shared" si="184"/>
        <v>0</v>
      </c>
      <c r="BZ188" s="1008"/>
      <c r="CA188" s="1008">
        <f t="shared" si="185"/>
        <v>0</v>
      </c>
      <c r="CB188" s="1008">
        <f t="shared" si="185"/>
        <v>0</v>
      </c>
      <c r="CC188" s="1008">
        <f t="shared" si="185"/>
        <v>0</v>
      </c>
      <c r="CD188" s="1008">
        <f t="shared" si="185"/>
        <v>0</v>
      </c>
      <c r="CE188" s="1008">
        <f t="shared" si="185"/>
        <v>0</v>
      </c>
      <c r="CF188" s="1008">
        <f t="shared" si="185"/>
        <v>0</v>
      </c>
      <c r="CG188" s="1008">
        <f t="shared" si="185"/>
        <v>0</v>
      </c>
      <c r="CH188" s="1008">
        <f t="shared" si="185"/>
        <v>0</v>
      </c>
      <c r="CI188" s="1008">
        <f t="shared" si="185"/>
        <v>0</v>
      </c>
      <c r="CJ188" s="1008"/>
      <c r="CK188" s="1008"/>
      <c r="CL188" s="1008">
        <f t="shared" si="186"/>
        <v>0</v>
      </c>
      <c r="CM188" s="1011">
        <f t="shared" si="187"/>
        <v>0</v>
      </c>
      <c r="CN188" s="1008">
        <f t="shared" si="176"/>
        <v>0</v>
      </c>
      <c r="CO188" s="1008"/>
      <c r="CP188" s="1008"/>
      <c r="CQ188" s="1008"/>
      <c r="CR188" s="1008"/>
      <c r="CS188" s="1008"/>
      <c r="CT188" s="1008"/>
      <c r="CU188" s="1008"/>
      <c r="CV188" s="1008"/>
      <c r="CW188" s="1008"/>
      <c r="CX188" s="1008"/>
      <c r="CY188" s="1008"/>
      <c r="CZ188" s="1008"/>
      <c r="DA188" s="1008"/>
      <c r="DB188" s="1008"/>
      <c r="DC188" s="1008"/>
      <c r="DD188" s="1008"/>
      <c r="DE188" s="1008"/>
      <c r="DF188" s="1008"/>
      <c r="DG188" s="1008"/>
      <c r="DH188" s="1008"/>
      <c r="DI188" s="1011">
        <f t="shared" si="188"/>
        <v>1</v>
      </c>
      <c r="DJ188" s="1008">
        <f t="shared" si="177"/>
        <v>3000000</v>
      </c>
      <c r="DK188" s="1008"/>
      <c r="DL188" s="1008"/>
      <c r="DM188" s="1008"/>
      <c r="DN188" s="1008">
        <f t="shared" si="163"/>
        <v>0</v>
      </c>
      <c r="DO188" s="1008">
        <f t="shared" si="163"/>
        <v>0</v>
      </c>
      <c r="DP188" s="1008">
        <f t="shared" si="163"/>
        <v>3000000</v>
      </c>
      <c r="DQ188" s="1008">
        <f t="shared" si="163"/>
        <v>0</v>
      </c>
      <c r="DR188" s="1008"/>
      <c r="DS188" s="1008">
        <f t="shared" si="189"/>
        <v>0</v>
      </c>
      <c r="DT188" s="1008">
        <f t="shared" si="189"/>
        <v>0</v>
      </c>
      <c r="DU188" s="1008"/>
      <c r="DV188" s="1008">
        <f t="shared" si="190"/>
        <v>0</v>
      </c>
      <c r="DW188" s="1008">
        <f t="shared" si="190"/>
        <v>0</v>
      </c>
      <c r="DX188" s="1008">
        <f t="shared" si="190"/>
        <v>0</v>
      </c>
      <c r="DY188" s="1008">
        <f t="shared" si="191"/>
        <v>0</v>
      </c>
      <c r="DZ188" s="1008">
        <f t="shared" si="191"/>
        <v>0</v>
      </c>
      <c r="EA188" s="1008">
        <f t="shared" si="191"/>
        <v>0</v>
      </c>
      <c r="EB188" s="1008">
        <f t="shared" si="191"/>
        <v>0</v>
      </c>
      <c r="EC188" s="1008">
        <f t="shared" si="191"/>
        <v>0</v>
      </c>
      <c r="ED188" s="1008">
        <f t="shared" si="191"/>
        <v>0</v>
      </c>
    </row>
    <row r="189" spans="1:134" ht="23.25" hidden="1" customHeight="1" x14ac:dyDescent="0.25">
      <c r="A189" s="1560"/>
      <c r="B189" s="989"/>
      <c r="C189" s="1635" t="s">
        <v>4678</v>
      </c>
      <c r="D189" s="1019" t="s">
        <v>4677</v>
      </c>
      <c r="E189" s="994">
        <v>510</v>
      </c>
      <c r="F189" s="1120" t="s">
        <v>4482</v>
      </c>
      <c r="G189" s="1401"/>
      <c r="H189" s="1061">
        <f t="shared" si="143"/>
        <v>80640865</v>
      </c>
      <c r="I189" s="1061">
        <f t="shared" si="144"/>
        <v>19359135</v>
      </c>
      <c r="J189" s="1270"/>
      <c r="K189" s="1586"/>
      <c r="L189" s="1305"/>
      <c r="M189" s="1115">
        <v>9</v>
      </c>
      <c r="N189" s="1115"/>
      <c r="O189" s="1115">
        <v>0</v>
      </c>
      <c r="P189" s="1115">
        <v>56</v>
      </c>
      <c r="Q189" s="1115">
        <v>60</v>
      </c>
      <c r="R189" s="1115">
        <v>33</v>
      </c>
      <c r="S189" s="1120"/>
      <c r="T189" s="1120"/>
      <c r="U189" s="1120"/>
      <c r="V189" s="1120"/>
      <c r="W189" s="1120"/>
      <c r="X189" s="1120"/>
      <c r="Y189" s="1008">
        <f t="shared" si="173"/>
        <v>100000000</v>
      </c>
      <c r="Z189" s="944"/>
      <c r="AA189" s="1008"/>
      <c r="AB189" s="1008"/>
      <c r="AC189" s="1008"/>
      <c r="AD189" s="1008"/>
      <c r="AE189" s="1008"/>
      <c r="AF189" s="1008"/>
      <c r="AG189" s="1008"/>
      <c r="AH189" s="1008"/>
      <c r="AI189" s="1008"/>
      <c r="AJ189" s="1008"/>
      <c r="AK189" s="1008"/>
      <c r="AL189" s="1008"/>
      <c r="AM189" s="1008"/>
      <c r="AN189" s="1008">
        <v>100000000</v>
      </c>
      <c r="AO189" s="1008"/>
      <c r="AP189" s="1008"/>
      <c r="AQ189" s="1008"/>
      <c r="AR189" s="1008"/>
      <c r="AS189" s="1008"/>
      <c r="AU189" s="1011">
        <f t="shared" si="180"/>
        <v>0.99939999999999996</v>
      </c>
      <c r="AV189" s="1008">
        <f t="shared" si="174"/>
        <v>99940000</v>
      </c>
      <c r="AW189" s="1008"/>
      <c r="AX189" s="1008"/>
      <c r="AY189" s="1008"/>
      <c r="AZ189" s="1008"/>
      <c r="BA189" s="1008"/>
      <c r="BB189" s="1008"/>
      <c r="BC189" s="1008"/>
      <c r="BD189" s="1008"/>
      <c r="BE189" s="1008"/>
      <c r="BF189" s="1008"/>
      <c r="BG189" s="1008"/>
      <c r="BH189" s="1008"/>
      <c r="BI189" s="1008"/>
      <c r="BJ189" s="1008"/>
      <c r="BK189" s="1008">
        <f>+'[16]AGOSTO 2015'!$G$2329</f>
        <v>99940000</v>
      </c>
      <c r="BL189" s="1008"/>
      <c r="BM189" s="1008"/>
      <c r="BN189" s="1008"/>
      <c r="BO189" s="1008"/>
      <c r="BP189" s="1008"/>
      <c r="BQ189" s="1011">
        <f t="shared" si="181"/>
        <v>6.0000000000004494E-4</v>
      </c>
      <c r="BR189" s="1008">
        <f t="shared" si="175"/>
        <v>60000</v>
      </c>
      <c r="BS189" s="1008">
        <f t="shared" si="182"/>
        <v>0</v>
      </c>
      <c r="BT189" s="1008">
        <f t="shared" si="183"/>
        <v>0</v>
      </c>
      <c r="BU189" s="1008"/>
      <c r="BV189" s="1008">
        <f t="shared" si="162"/>
        <v>0</v>
      </c>
      <c r="BW189" s="1008">
        <f t="shared" si="162"/>
        <v>0</v>
      </c>
      <c r="BX189" s="1008">
        <f t="shared" si="184"/>
        <v>0</v>
      </c>
      <c r="BY189" s="1008">
        <f t="shared" si="184"/>
        <v>0</v>
      </c>
      <c r="BZ189" s="1008"/>
      <c r="CA189" s="1008">
        <f t="shared" si="185"/>
        <v>0</v>
      </c>
      <c r="CB189" s="1008">
        <f t="shared" si="185"/>
        <v>0</v>
      </c>
      <c r="CC189" s="1008">
        <f t="shared" si="185"/>
        <v>0</v>
      </c>
      <c r="CD189" s="1008">
        <f t="shared" si="185"/>
        <v>0</v>
      </c>
      <c r="CE189" s="1008">
        <f t="shared" si="185"/>
        <v>0</v>
      </c>
      <c r="CF189" s="1008">
        <f t="shared" si="185"/>
        <v>0</v>
      </c>
      <c r="CG189" s="1008">
        <f t="shared" si="185"/>
        <v>60000</v>
      </c>
      <c r="CH189" s="1008">
        <f t="shared" si="185"/>
        <v>0</v>
      </c>
      <c r="CI189" s="1008">
        <f t="shared" si="185"/>
        <v>0</v>
      </c>
      <c r="CJ189" s="1008"/>
      <c r="CK189" s="1008"/>
      <c r="CL189" s="1008">
        <f t="shared" si="186"/>
        <v>0</v>
      </c>
      <c r="CM189" s="1011">
        <f t="shared" si="187"/>
        <v>0.80640864999999995</v>
      </c>
      <c r="CN189" s="1008">
        <f t="shared" si="176"/>
        <v>80640865</v>
      </c>
      <c r="CO189" s="1008"/>
      <c r="CP189" s="1008"/>
      <c r="CQ189" s="1008"/>
      <c r="CR189" s="1008"/>
      <c r="CS189" s="1008"/>
      <c r="CT189" s="1008"/>
      <c r="CU189" s="1008"/>
      <c r="CV189" s="1008"/>
      <c r="CW189" s="1008"/>
      <c r="CX189" s="1008"/>
      <c r="CY189" s="1008"/>
      <c r="CZ189" s="1008"/>
      <c r="DA189" s="1008"/>
      <c r="DB189" s="1008"/>
      <c r="DC189" s="1008">
        <f>+'[17]SEPTIEMBRE 2015'!$H$2839</f>
        <v>80640865</v>
      </c>
      <c r="DD189" s="1008"/>
      <c r="DE189" s="1008"/>
      <c r="DF189" s="1008"/>
      <c r="DG189" s="1008"/>
      <c r="DH189" s="1008"/>
      <c r="DI189" s="1011">
        <f t="shared" si="188"/>
        <v>0.19359135000000005</v>
      </c>
      <c r="DJ189" s="1008">
        <f t="shared" si="177"/>
        <v>19359135</v>
      </c>
      <c r="DK189" s="1008"/>
      <c r="DL189" s="1008"/>
      <c r="DM189" s="1008"/>
      <c r="DN189" s="1008">
        <f t="shared" si="163"/>
        <v>0</v>
      </c>
      <c r="DO189" s="1008">
        <f t="shared" si="163"/>
        <v>0</v>
      </c>
      <c r="DP189" s="1008">
        <f t="shared" si="163"/>
        <v>0</v>
      </c>
      <c r="DQ189" s="1008">
        <f t="shared" si="163"/>
        <v>0</v>
      </c>
      <c r="DR189" s="1008"/>
      <c r="DS189" s="1008">
        <f t="shared" si="189"/>
        <v>0</v>
      </c>
      <c r="DT189" s="1008">
        <f t="shared" si="189"/>
        <v>0</v>
      </c>
      <c r="DU189" s="1008"/>
      <c r="DV189" s="1008">
        <f t="shared" si="190"/>
        <v>0</v>
      </c>
      <c r="DW189" s="1008">
        <f t="shared" si="190"/>
        <v>0</v>
      </c>
      <c r="DX189" s="1008">
        <f t="shared" si="190"/>
        <v>0</v>
      </c>
      <c r="DY189" s="1008">
        <f t="shared" si="191"/>
        <v>19359135</v>
      </c>
      <c r="DZ189" s="1008">
        <f t="shared" si="191"/>
        <v>0</v>
      </c>
      <c r="EA189" s="1008">
        <f t="shared" si="191"/>
        <v>0</v>
      </c>
      <c r="EB189" s="1008">
        <f t="shared" si="191"/>
        <v>0</v>
      </c>
      <c r="EC189" s="1008">
        <f t="shared" si="191"/>
        <v>0</v>
      </c>
      <c r="ED189" s="1008">
        <f t="shared" si="191"/>
        <v>0</v>
      </c>
    </row>
    <row r="190" spans="1:134" s="203" customFormat="1" ht="54" hidden="1" customHeight="1" x14ac:dyDescent="0.25">
      <c r="A190" s="1560"/>
      <c r="B190" s="989" t="s">
        <v>4454</v>
      </c>
      <c r="C190" s="1631" t="s">
        <v>4667</v>
      </c>
      <c r="D190" s="1019" t="s">
        <v>4666</v>
      </c>
      <c r="E190" s="989">
        <v>510</v>
      </c>
      <c r="F190" s="1120" t="s">
        <v>4482</v>
      </c>
      <c r="G190" s="1120">
        <v>5000000</v>
      </c>
      <c r="H190" s="1061">
        <f t="shared" si="143"/>
        <v>0</v>
      </c>
      <c r="I190" s="1061">
        <f t="shared" si="144"/>
        <v>0</v>
      </c>
      <c r="J190" s="1120">
        <v>0</v>
      </c>
      <c r="K190" s="1135">
        <v>1</v>
      </c>
      <c r="L190" s="1115">
        <v>50</v>
      </c>
      <c r="M190" s="1075">
        <v>0</v>
      </c>
      <c r="N190" s="1075">
        <v>0</v>
      </c>
      <c r="O190" s="1075">
        <v>0</v>
      </c>
      <c r="P190" s="1075"/>
      <c r="Q190" s="1075"/>
      <c r="R190" s="1075"/>
      <c r="S190" s="1120"/>
      <c r="T190" s="1120"/>
      <c r="U190" s="1120"/>
      <c r="V190" s="1120"/>
      <c r="W190" s="1120"/>
      <c r="X190" s="1120"/>
      <c r="Y190" s="1067">
        <f t="shared" si="173"/>
        <v>0</v>
      </c>
      <c r="Z190" s="149"/>
      <c r="AA190" s="1067"/>
      <c r="AB190" s="1067"/>
      <c r="AC190" s="1067"/>
      <c r="AD190" s="1067"/>
      <c r="AE190" s="1067">
        <f>5000000-5000000</f>
        <v>0</v>
      </c>
      <c r="AF190" s="1067"/>
      <c r="AG190" s="1067"/>
      <c r="AH190" s="1067"/>
      <c r="AI190" s="1067"/>
      <c r="AJ190" s="1067"/>
      <c r="AK190" s="1067"/>
      <c r="AL190" s="1067"/>
      <c r="AM190" s="1067"/>
      <c r="AN190" s="1067"/>
      <c r="AO190" s="1067"/>
      <c r="AP190" s="1067"/>
      <c r="AQ190" s="1067"/>
      <c r="AR190" s="1067"/>
      <c r="AS190" s="1067"/>
      <c r="AU190" s="1082">
        <v>0</v>
      </c>
      <c r="AV190" s="1067">
        <f t="shared" si="174"/>
        <v>0</v>
      </c>
      <c r="AW190" s="1067"/>
      <c r="AX190" s="1067"/>
      <c r="AY190" s="1067"/>
      <c r="AZ190" s="1067"/>
      <c r="BA190" s="1067"/>
      <c r="BB190" s="1067"/>
      <c r="BC190" s="1067"/>
      <c r="BD190" s="1067"/>
      <c r="BE190" s="1067"/>
      <c r="BF190" s="1067"/>
      <c r="BG190" s="1067"/>
      <c r="BH190" s="1067"/>
      <c r="BI190" s="1067"/>
      <c r="BJ190" s="1067"/>
      <c r="BK190" s="1067"/>
      <c r="BL190" s="1067"/>
      <c r="BM190" s="1067"/>
      <c r="BN190" s="1067"/>
      <c r="BO190" s="1067"/>
      <c r="BP190" s="1067"/>
      <c r="BQ190" s="1082">
        <v>0</v>
      </c>
      <c r="BR190" s="1067">
        <f t="shared" si="175"/>
        <v>0</v>
      </c>
      <c r="BS190" s="1067">
        <f t="shared" si="182"/>
        <v>0</v>
      </c>
      <c r="BT190" s="1067">
        <f t="shared" si="183"/>
        <v>0</v>
      </c>
      <c r="BU190" s="1067"/>
      <c r="BV190" s="1067">
        <f t="shared" si="162"/>
        <v>0</v>
      </c>
      <c r="BW190" s="1067">
        <f t="shared" si="162"/>
        <v>0</v>
      </c>
      <c r="BX190" s="1067">
        <f t="shared" si="184"/>
        <v>0</v>
      </c>
      <c r="BY190" s="1067">
        <f t="shared" si="184"/>
        <v>0</v>
      </c>
      <c r="BZ190" s="1067"/>
      <c r="CA190" s="1067">
        <f t="shared" si="185"/>
        <v>0</v>
      </c>
      <c r="CB190" s="1067">
        <f t="shared" si="185"/>
        <v>0</v>
      </c>
      <c r="CC190" s="1067">
        <f t="shared" si="185"/>
        <v>0</v>
      </c>
      <c r="CD190" s="1067">
        <f t="shared" si="185"/>
        <v>0</v>
      </c>
      <c r="CE190" s="1067">
        <f t="shared" si="185"/>
        <v>0</v>
      </c>
      <c r="CF190" s="1067">
        <f t="shared" si="185"/>
        <v>0</v>
      </c>
      <c r="CG190" s="1067">
        <f t="shared" si="185"/>
        <v>0</v>
      </c>
      <c r="CH190" s="1067">
        <f t="shared" si="185"/>
        <v>0</v>
      </c>
      <c r="CI190" s="1067">
        <f t="shared" si="185"/>
        <v>0</v>
      </c>
      <c r="CJ190" s="1067"/>
      <c r="CK190" s="1067"/>
      <c r="CL190" s="1067">
        <f t="shared" si="186"/>
        <v>0</v>
      </c>
      <c r="CM190" s="1082">
        <v>0</v>
      </c>
      <c r="CN190" s="1067">
        <f t="shared" si="176"/>
        <v>0</v>
      </c>
      <c r="CO190" s="1067"/>
      <c r="CP190" s="1067"/>
      <c r="CQ190" s="1067"/>
      <c r="CR190" s="1067"/>
      <c r="CS190" s="1067"/>
      <c r="CT190" s="1067"/>
      <c r="CU190" s="1067"/>
      <c r="CV190" s="1067"/>
      <c r="CW190" s="1067"/>
      <c r="CX190" s="1067"/>
      <c r="CY190" s="1067"/>
      <c r="CZ190" s="1067"/>
      <c r="DA190" s="1067"/>
      <c r="DB190" s="1067"/>
      <c r="DC190" s="1067"/>
      <c r="DD190" s="1067"/>
      <c r="DE190" s="1067"/>
      <c r="DF190" s="1067"/>
      <c r="DG190" s="1067"/>
      <c r="DH190" s="1067"/>
      <c r="DI190" s="1082">
        <v>0</v>
      </c>
      <c r="DJ190" s="1067">
        <f t="shared" si="177"/>
        <v>0</v>
      </c>
      <c r="DK190" s="1067"/>
      <c r="DL190" s="1067"/>
      <c r="DM190" s="1067"/>
      <c r="DN190" s="1067">
        <f t="shared" si="163"/>
        <v>0</v>
      </c>
      <c r="DO190" s="1067">
        <f t="shared" si="163"/>
        <v>0</v>
      </c>
      <c r="DP190" s="1067">
        <f t="shared" si="163"/>
        <v>0</v>
      </c>
      <c r="DQ190" s="1067">
        <f t="shared" si="163"/>
        <v>0</v>
      </c>
      <c r="DR190" s="1067"/>
      <c r="DS190" s="1067">
        <f t="shared" si="189"/>
        <v>0</v>
      </c>
      <c r="DT190" s="1067">
        <f t="shared" si="189"/>
        <v>0</v>
      </c>
      <c r="DU190" s="1067"/>
      <c r="DV190" s="1067">
        <f t="shared" si="190"/>
        <v>0</v>
      </c>
      <c r="DW190" s="1067">
        <f t="shared" si="190"/>
        <v>0</v>
      </c>
      <c r="DX190" s="1067">
        <f t="shared" si="190"/>
        <v>0</v>
      </c>
      <c r="DY190" s="1067">
        <f t="shared" si="191"/>
        <v>0</v>
      </c>
      <c r="DZ190" s="1067">
        <f t="shared" si="191"/>
        <v>0</v>
      </c>
      <c r="EA190" s="1067">
        <f t="shared" si="191"/>
        <v>0</v>
      </c>
      <c r="EB190" s="1067">
        <f t="shared" si="191"/>
        <v>0</v>
      </c>
      <c r="EC190" s="1067">
        <f t="shared" si="191"/>
        <v>0</v>
      </c>
      <c r="ED190" s="1067">
        <f t="shared" si="191"/>
        <v>0</v>
      </c>
    </row>
    <row r="191" spans="1:134" ht="48.75" hidden="1" customHeight="1" x14ac:dyDescent="0.25">
      <c r="A191" s="1560"/>
      <c r="B191" s="989" t="s">
        <v>4455</v>
      </c>
      <c r="C191" s="131" t="s">
        <v>4664</v>
      </c>
      <c r="D191" s="1019" t="s">
        <v>4663</v>
      </c>
      <c r="E191" s="994">
        <v>310</v>
      </c>
      <c r="F191" s="1120" t="s">
        <v>4482</v>
      </c>
      <c r="G191" s="1399">
        <v>287000000</v>
      </c>
      <c r="H191" s="1061">
        <f t="shared" si="143"/>
        <v>194853743</v>
      </c>
      <c r="I191" s="1061">
        <f t="shared" si="144"/>
        <v>78490678</v>
      </c>
      <c r="J191" s="1270">
        <v>180</v>
      </c>
      <c r="K191" s="1305">
        <v>206</v>
      </c>
      <c r="L191" s="1305">
        <v>206</v>
      </c>
      <c r="M191" s="1115">
        <v>18</v>
      </c>
      <c r="N191" s="1115">
        <v>32</v>
      </c>
      <c r="O191" s="1115">
        <v>6</v>
      </c>
      <c r="P191" s="1115">
        <v>53</v>
      </c>
      <c r="Q191" s="1115">
        <v>32</v>
      </c>
      <c r="R191" s="1115">
        <v>17</v>
      </c>
      <c r="S191" s="1120"/>
      <c r="T191" s="1120"/>
      <c r="U191" s="1120"/>
      <c r="V191" s="1120"/>
      <c r="W191" s="1120"/>
      <c r="X191" s="1120"/>
      <c r="Y191" s="1008">
        <f t="shared" si="173"/>
        <v>273344421</v>
      </c>
      <c r="Z191" s="944"/>
      <c r="AA191" s="1008"/>
      <c r="AB191" s="1008"/>
      <c r="AC191" s="1008"/>
      <c r="AD191" s="1008"/>
      <c r="AE191" s="1008"/>
      <c r="AF191" s="1008"/>
      <c r="AG191" s="1008"/>
      <c r="AH191" s="1008"/>
      <c r="AI191" s="1008"/>
      <c r="AJ191" s="1008"/>
      <c r="AK191" s="1008"/>
      <c r="AL191" s="1008"/>
      <c r="AM191" s="1008"/>
      <c r="AN191" s="1008"/>
      <c r="AO191" s="1008">
        <f>273344421</f>
        <v>273344421</v>
      </c>
      <c r="AP191" s="1008"/>
      <c r="AQ191" s="1008"/>
      <c r="AR191" s="1008"/>
      <c r="AS191" s="1008"/>
      <c r="AU191" s="1011">
        <f t="shared" si="180"/>
        <v>1</v>
      </c>
      <c r="AV191" s="1008">
        <f t="shared" si="174"/>
        <v>273344421</v>
      </c>
      <c r="AW191" s="1008"/>
      <c r="AX191" s="1008"/>
      <c r="AY191" s="1008"/>
      <c r="AZ191" s="1008"/>
      <c r="BA191" s="1008"/>
      <c r="BB191" s="1008"/>
      <c r="BC191" s="1008"/>
      <c r="BD191" s="1008"/>
      <c r="BE191" s="1008"/>
      <c r="BF191" s="1008"/>
      <c r="BG191" s="1008"/>
      <c r="BH191" s="1008"/>
      <c r="BI191" s="1008"/>
      <c r="BJ191" s="1008"/>
      <c r="BK191" s="1008"/>
      <c r="BL191" s="1008">
        <f>+'[8]FEBRERO 2015'!$X$334</f>
        <v>273344421</v>
      </c>
      <c r="BM191" s="1008"/>
      <c r="BN191" s="1008"/>
      <c r="BO191" s="1008"/>
      <c r="BP191" s="1008"/>
      <c r="BQ191" s="1011">
        <f t="shared" si="181"/>
        <v>0</v>
      </c>
      <c r="BR191" s="1008">
        <f t="shared" si="175"/>
        <v>0</v>
      </c>
      <c r="BS191" s="1008">
        <f t="shared" si="182"/>
        <v>0</v>
      </c>
      <c r="BT191" s="1008">
        <f t="shared" si="183"/>
        <v>0</v>
      </c>
      <c r="BU191" s="1008"/>
      <c r="BV191" s="1008">
        <f t="shared" si="162"/>
        <v>0</v>
      </c>
      <c r="BW191" s="1008">
        <f t="shared" si="162"/>
        <v>0</v>
      </c>
      <c r="BX191" s="1008">
        <f t="shared" si="184"/>
        <v>0</v>
      </c>
      <c r="BY191" s="1008">
        <f t="shared" si="184"/>
        <v>0</v>
      </c>
      <c r="BZ191" s="1008"/>
      <c r="CA191" s="1008">
        <f t="shared" si="185"/>
        <v>0</v>
      </c>
      <c r="CB191" s="1008">
        <f t="shared" si="185"/>
        <v>0</v>
      </c>
      <c r="CC191" s="1008">
        <f t="shared" si="185"/>
        <v>0</v>
      </c>
      <c r="CD191" s="1008">
        <f t="shared" si="185"/>
        <v>0</v>
      </c>
      <c r="CE191" s="1008">
        <f t="shared" si="185"/>
        <v>0</v>
      </c>
      <c r="CF191" s="1008">
        <f t="shared" si="185"/>
        <v>0</v>
      </c>
      <c r="CG191" s="1008">
        <f t="shared" si="185"/>
        <v>0</v>
      </c>
      <c r="CH191" s="1008">
        <f t="shared" si="185"/>
        <v>0</v>
      </c>
      <c r="CI191" s="1008">
        <f t="shared" si="185"/>
        <v>0</v>
      </c>
      <c r="CJ191" s="1008"/>
      <c r="CK191" s="1008"/>
      <c r="CL191" s="1008">
        <f t="shared" si="186"/>
        <v>0</v>
      </c>
      <c r="CM191" s="1011">
        <f t="shared" si="187"/>
        <v>0.71285063103592661</v>
      </c>
      <c r="CN191" s="1008">
        <f t="shared" si="176"/>
        <v>194853743</v>
      </c>
      <c r="CO191" s="1008"/>
      <c r="CP191" s="1008"/>
      <c r="CQ191" s="1008"/>
      <c r="CR191" s="1008"/>
      <c r="CS191" s="1008"/>
      <c r="CT191" s="1008"/>
      <c r="CU191" s="1008"/>
      <c r="CV191" s="1008"/>
      <c r="CW191" s="1008"/>
      <c r="CX191" s="1008"/>
      <c r="CY191" s="1008"/>
      <c r="CZ191" s="1008"/>
      <c r="DA191" s="1008"/>
      <c r="DB191" s="1008"/>
      <c r="DC191" s="1008"/>
      <c r="DD191" s="1008">
        <f>+'[18]OCTUBRE 2015'!$H$950</f>
        <v>194853743</v>
      </c>
      <c r="DE191" s="1008"/>
      <c r="DF191" s="1008"/>
      <c r="DG191" s="1008"/>
      <c r="DH191" s="1008"/>
      <c r="DI191" s="1011">
        <f t="shared" si="188"/>
        <v>0.28714936896407339</v>
      </c>
      <c r="DJ191" s="1008">
        <f t="shared" si="177"/>
        <v>78490678</v>
      </c>
      <c r="DK191" s="1008"/>
      <c r="DL191" s="1008"/>
      <c r="DM191" s="1008"/>
      <c r="DN191" s="1008">
        <f t="shared" si="163"/>
        <v>0</v>
      </c>
      <c r="DO191" s="1008">
        <f t="shared" si="163"/>
        <v>0</v>
      </c>
      <c r="DP191" s="1008">
        <f t="shared" si="163"/>
        <v>0</v>
      </c>
      <c r="DQ191" s="1008">
        <f t="shared" si="163"/>
        <v>0</v>
      </c>
      <c r="DR191" s="1008"/>
      <c r="DS191" s="1008">
        <f t="shared" si="189"/>
        <v>0</v>
      </c>
      <c r="DT191" s="1008">
        <f t="shared" si="189"/>
        <v>0</v>
      </c>
      <c r="DU191" s="1008"/>
      <c r="DV191" s="1008">
        <f t="shared" si="190"/>
        <v>0</v>
      </c>
      <c r="DW191" s="1008">
        <f t="shared" si="190"/>
        <v>0</v>
      </c>
      <c r="DX191" s="1008">
        <f t="shared" si="190"/>
        <v>0</v>
      </c>
      <c r="DY191" s="1008">
        <f t="shared" si="191"/>
        <v>0</v>
      </c>
      <c r="DZ191" s="1008">
        <f t="shared" si="191"/>
        <v>78490678</v>
      </c>
      <c r="EA191" s="1008">
        <f t="shared" si="191"/>
        <v>0</v>
      </c>
      <c r="EB191" s="1008">
        <f t="shared" si="191"/>
        <v>0</v>
      </c>
      <c r="EC191" s="1008">
        <f t="shared" si="191"/>
        <v>0</v>
      </c>
      <c r="ED191" s="1008">
        <f t="shared" si="191"/>
        <v>0</v>
      </c>
    </row>
    <row r="192" spans="1:134" ht="45" hidden="1" customHeight="1" x14ac:dyDescent="0.25">
      <c r="A192" s="1560"/>
      <c r="B192" s="1007"/>
      <c r="C192" s="131" t="s">
        <v>4665</v>
      </c>
      <c r="D192" s="1019" t="s">
        <v>4546</v>
      </c>
      <c r="E192" s="1636">
        <v>310</v>
      </c>
      <c r="F192" s="1120" t="s">
        <v>4547</v>
      </c>
      <c r="G192" s="1401"/>
      <c r="H192" s="1061">
        <f t="shared" si="143"/>
        <v>11972498</v>
      </c>
      <c r="I192" s="1061">
        <f t="shared" si="144"/>
        <v>18027502</v>
      </c>
      <c r="J192" s="1270"/>
      <c r="K192" s="1305"/>
      <c r="L192" s="1305"/>
      <c r="M192" s="1115">
        <v>13</v>
      </c>
      <c r="N192" s="1115">
        <v>0</v>
      </c>
      <c r="O192" s="1115">
        <v>0</v>
      </c>
      <c r="P192" s="1115">
        <v>16</v>
      </c>
      <c r="Q192" s="1115">
        <v>0</v>
      </c>
      <c r="R192" s="1115">
        <v>0</v>
      </c>
      <c r="S192" s="1120"/>
      <c r="T192" s="1120"/>
      <c r="U192" s="1120"/>
      <c r="V192" s="1120"/>
      <c r="W192" s="1120"/>
      <c r="X192" s="1120"/>
      <c r="Y192" s="1008">
        <f t="shared" si="173"/>
        <v>30000000</v>
      </c>
      <c r="Z192" s="996"/>
      <c r="AA192" s="996"/>
      <c r="AB192" s="996"/>
      <c r="AC192" s="996"/>
      <c r="AD192" s="996"/>
      <c r="AE192" s="996"/>
      <c r="AF192" s="996"/>
      <c r="AG192" s="996"/>
      <c r="AH192" s="996"/>
      <c r="AI192" s="241"/>
      <c r="AJ192" s="241"/>
      <c r="AK192" s="241"/>
      <c r="AL192" s="241"/>
      <c r="AM192" s="241"/>
      <c r="AN192" s="996"/>
      <c r="AO192" s="996"/>
      <c r="AP192" s="996"/>
      <c r="AQ192" s="996"/>
      <c r="AR192" s="996"/>
      <c r="AS192" s="1008">
        <f>10000000+4000000+16000000</f>
        <v>30000000</v>
      </c>
      <c r="AU192" s="1011">
        <f t="shared" si="180"/>
        <v>0.66666666666666663</v>
      </c>
      <c r="AV192" s="1008">
        <f t="shared" si="174"/>
        <v>20000000</v>
      </c>
      <c r="AW192" s="1008"/>
      <c r="AX192" s="1008"/>
      <c r="AY192" s="1008"/>
      <c r="AZ192" s="1008"/>
      <c r="BA192" s="1008"/>
      <c r="BB192" s="1008"/>
      <c r="BC192" s="1008"/>
      <c r="BD192" s="1008"/>
      <c r="BE192" s="1008"/>
      <c r="BF192" s="1008"/>
      <c r="BG192" s="1008"/>
      <c r="BH192" s="1008"/>
      <c r="BI192" s="1008"/>
      <c r="BJ192" s="1008"/>
      <c r="BK192" s="1008"/>
      <c r="BL192" s="1008"/>
      <c r="BM192" s="1008"/>
      <c r="BN192" s="1008"/>
      <c r="BO192" s="1008"/>
      <c r="BP192" s="1008">
        <f>+'[15]JULIO 2015'!$G$716</f>
        <v>20000000</v>
      </c>
      <c r="BQ192" s="1011">
        <f t="shared" si="181"/>
        <v>0.33333333333333337</v>
      </c>
      <c r="BR192" s="1008">
        <f t="shared" si="175"/>
        <v>10000000</v>
      </c>
      <c r="BS192" s="1008">
        <f t="shared" si="182"/>
        <v>0</v>
      </c>
      <c r="BT192" s="1008">
        <f t="shared" si="183"/>
        <v>0</v>
      </c>
      <c r="BU192" s="1008"/>
      <c r="BV192" s="1008">
        <f t="shared" si="162"/>
        <v>0</v>
      </c>
      <c r="BW192" s="1008">
        <f t="shared" si="162"/>
        <v>0</v>
      </c>
      <c r="BX192" s="1008">
        <f t="shared" si="184"/>
        <v>0</v>
      </c>
      <c r="BY192" s="1008">
        <f t="shared" si="184"/>
        <v>0</v>
      </c>
      <c r="BZ192" s="1008"/>
      <c r="CA192" s="1008">
        <f t="shared" si="185"/>
        <v>0</v>
      </c>
      <c r="CB192" s="1008">
        <f t="shared" si="185"/>
        <v>0</v>
      </c>
      <c r="CC192" s="1008">
        <f t="shared" si="185"/>
        <v>0</v>
      </c>
      <c r="CD192" s="1008">
        <f t="shared" si="185"/>
        <v>0</v>
      </c>
      <c r="CE192" s="1008">
        <f t="shared" si="185"/>
        <v>0</v>
      </c>
      <c r="CF192" s="1008">
        <f t="shared" si="185"/>
        <v>0</v>
      </c>
      <c r="CG192" s="1008">
        <f t="shared" si="185"/>
        <v>0</v>
      </c>
      <c r="CH192" s="1008">
        <f t="shared" si="185"/>
        <v>0</v>
      </c>
      <c r="CI192" s="1008">
        <f t="shared" si="185"/>
        <v>0</v>
      </c>
      <c r="CJ192" s="1008"/>
      <c r="CK192" s="1008"/>
      <c r="CL192" s="1008">
        <f t="shared" ref="CL192:CL193" si="192">+AS192-BP192</f>
        <v>10000000</v>
      </c>
      <c r="CM192" s="1011">
        <f t="shared" si="187"/>
        <v>0.39908326666666666</v>
      </c>
      <c r="CN192" s="1008">
        <f t="shared" si="176"/>
        <v>11972498</v>
      </c>
      <c r="CO192" s="1008"/>
      <c r="CP192" s="1008"/>
      <c r="CQ192" s="1008"/>
      <c r="CR192" s="1008"/>
      <c r="CS192" s="1008"/>
      <c r="CT192" s="1008"/>
      <c r="CU192" s="1008"/>
      <c r="CV192" s="1008"/>
      <c r="CW192" s="1008"/>
      <c r="CX192" s="1008"/>
      <c r="CY192" s="1008"/>
      <c r="CZ192" s="1008"/>
      <c r="DA192" s="1008"/>
      <c r="DB192" s="1008"/>
      <c r="DC192" s="1008"/>
      <c r="DD192" s="1008"/>
      <c r="DE192" s="1008"/>
      <c r="DF192" s="1008"/>
      <c r="DG192" s="1008"/>
      <c r="DH192" s="1008">
        <f>+'[17]SEPTIEMBRE 2015'!$H$938</f>
        <v>11972498</v>
      </c>
      <c r="DI192" s="1011">
        <f t="shared" si="188"/>
        <v>0.6009167333333334</v>
      </c>
      <c r="DJ192" s="1008">
        <f t="shared" si="177"/>
        <v>18027502</v>
      </c>
      <c r="DK192" s="1008"/>
      <c r="DL192" s="1008"/>
      <c r="DM192" s="1008"/>
      <c r="DN192" s="1008">
        <f t="shared" si="163"/>
        <v>0</v>
      </c>
      <c r="DO192" s="1008">
        <f t="shared" si="163"/>
        <v>0</v>
      </c>
      <c r="DP192" s="1008">
        <f t="shared" si="163"/>
        <v>0</v>
      </c>
      <c r="DQ192" s="1008">
        <f t="shared" si="163"/>
        <v>0</v>
      </c>
      <c r="DR192" s="1008"/>
      <c r="DS192" s="1008">
        <f t="shared" si="189"/>
        <v>0</v>
      </c>
      <c r="DT192" s="1008">
        <f t="shared" si="189"/>
        <v>0</v>
      </c>
      <c r="DU192" s="1008"/>
      <c r="DV192" s="1008">
        <f t="shared" si="190"/>
        <v>0</v>
      </c>
      <c r="DW192" s="1008">
        <f t="shared" si="190"/>
        <v>0</v>
      </c>
      <c r="DX192" s="1008">
        <f t="shared" si="190"/>
        <v>0</v>
      </c>
      <c r="DY192" s="1008">
        <f t="shared" si="191"/>
        <v>0</v>
      </c>
      <c r="DZ192" s="1008">
        <f t="shared" si="191"/>
        <v>0</v>
      </c>
      <c r="EA192" s="1008">
        <f t="shared" si="191"/>
        <v>0</v>
      </c>
      <c r="EB192" s="1008">
        <f t="shared" si="191"/>
        <v>0</v>
      </c>
      <c r="EC192" s="1008">
        <f t="shared" si="191"/>
        <v>0</v>
      </c>
      <c r="ED192" s="1008">
        <f t="shared" si="191"/>
        <v>18027502</v>
      </c>
    </row>
    <row r="193" spans="1:140" s="203" customFormat="1" ht="24" hidden="1" customHeight="1" x14ac:dyDescent="0.25">
      <c r="A193" s="1560"/>
      <c r="B193" s="1007"/>
      <c r="C193" s="1631" t="s">
        <v>4680</v>
      </c>
      <c r="D193" s="1019" t="s">
        <v>4681</v>
      </c>
      <c r="E193" s="989">
        <v>111</v>
      </c>
      <c r="F193" s="1120" t="s">
        <v>4482</v>
      </c>
      <c r="G193" s="1120"/>
      <c r="H193" s="1061">
        <f t="shared" ref="H193" si="193">+CN193</f>
        <v>0</v>
      </c>
      <c r="I193" s="1061">
        <f t="shared" ref="I193" si="194">Y193-H193</f>
        <v>0</v>
      </c>
      <c r="J193" s="771"/>
      <c r="K193" s="1120"/>
      <c r="L193" s="1120"/>
      <c r="M193" s="1071"/>
      <c r="N193" s="1071"/>
      <c r="O193" s="1071"/>
      <c r="P193" s="1071"/>
      <c r="Q193" s="1071"/>
      <c r="R193" s="1071"/>
      <c r="S193" s="1120"/>
      <c r="T193" s="1120"/>
      <c r="U193" s="1120"/>
      <c r="V193" s="1120"/>
      <c r="W193" s="1120"/>
      <c r="X193" s="1120"/>
      <c r="Y193" s="1067">
        <f>SUM(AA193:AS193)</f>
        <v>0</v>
      </c>
      <c r="Z193" s="241"/>
      <c r="AA193" s="241"/>
      <c r="AB193" s="241"/>
      <c r="AC193" s="241">
        <f>417803755-417803755</f>
        <v>0</v>
      </c>
      <c r="AD193" s="241"/>
      <c r="AE193" s="241"/>
      <c r="AF193" s="241"/>
      <c r="AG193" s="241"/>
      <c r="AH193" s="241"/>
      <c r="AI193" s="241"/>
      <c r="AJ193" s="241"/>
      <c r="AK193" s="241"/>
      <c r="AL193" s="241"/>
      <c r="AM193" s="241"/>
      <c r="AN193" s="241"/>
      <c r="AO193" s="241"/>
      <c r="AP193" s="241"/>
      <c r="AQ193" s="241"/>
      <c r="AR193" s="241"/>
      <c r="AS193" s="1067"/>
      <c r="AU193" s="1082">
        <v>0</v>
      </c>
      <c r="AV193" s="1067">
        <f t="shared" ref="AV193" si="195">SUM(AW193:BP193)</f>
        <v>0</v>
      </c>
      <c r="AW193" s="1067"/>
      <c r="AX193" s="1067"/>
      <c r="AY193" s="1067"/>
      <c r="AZ193" s="1067"/>
      <c r="BA193" s="1067"/>
      <c r="BB193" s="1067"/>
      <c r="BC193" s="1067"/>
      <c r="BD193" s="1067"/>
      <c r="BE193" s="1067"/>
      <c r="BF193" s="1067"/>
      <c r="BG193" s="1067"/>
      <c r="BH193" s="1067"/>
      <c r="BI193" s="1067"/>
      <c r="BJ193" s="1067"/>
      <c r="BK193" s="1067"/>
      <c r="BL193" s="1067"/>
      <c r="BM193" s="1067"/>
      <c r="BN193" s="1067"/>
      <c r="BO193" s="1067"/>
      <c r="BP193" s="1067"/>
      <c r="BQ193" s="1082">
        <v>0</v>
      </c>
      <c r="BR193" s="1067">
        <f t="shared" si="175"/>
        <v>0</v>
      </c>
      <c r="BS193" s="1067">
        <f t="shared" si="182"/>
        <v>0</v>
      </c>
      <c r="BT193" s="1067">
        <f t="shared" si="183"/>
        <v>0</v>
      </c>
      <c r="BU193" s="1067"/>
      <c r="BV193" s="1067">
        <f t="shared" si="162"/>
        <v>0</v>
      </c>
      <c r="BW193" s="1067">
        <f t="shared" si="162"/>
        <v>0</v>
      </c>
      <c r="BX193" s="1067">
        <f t="shared" si="184"/>
        <v>0</v>
      </c>
      <c r="BY193" s="1067">
        <f t="shared" si="184"/>
        <v>0</v>
      </c>
      <c r="BZ193" s="1067"/>
      <c r="CA193" s="1067">
        <f t="shared" si="185"/>
        <v>0</v>
      </c>
      <c r="CB193" s="1067">
        <f t="shared" si="185"/>
        <v>0</v>
      </c>
      <c r="CC193" s="1067">
        <f t="shared" si="185"/>
        <v>0</v>
      </c>
      <c r="CD193" s="1067">
        <f t="shared" si="185"/>
        <v>0</v>
      </c>
      <c r="CE193" s="1067">
        <f t="shared" si="185"/>
        <v>0</v>
      </c>
      <c r="CF193" s="1067">
        <f t="shared" si="185"/>
        <v>0</v>
      </c>
      <c r="CG193" s="1067">
        <f t="shared" si="185"/>
        <v>0</v>
      </c>
      <c r="CH193" s="1067">
        <f t="shared" si="185"/>
        <v>0</v>
      </c>
      <c r="CI193" s="1067">
        <f t="shared" si="185"/>
        <v>0</v>
      </c>
      <c r="CJ193" s="1067"/>
      <c r="CK193" s="1067"/>
      <c r="CL193" s="1067">
        <f t="shared" si="192"/>
        <v>0</v>
      </c>
      <c r="CM193" s="1082">
        <v>0</v>
      </c>
      <c r="CN193" s="1067">
        <f t="shared" si="176"/>
        <v>0</v>
      </c>
      <c r="CO193" s="1067"/>
      <c r="CP193" s="1067"/>
      <c r="CQ193" s="1067"/>
      <c r="CR193" s="1067"/>
      <c r="CS193" s="1067"/>
      <c r="CT193" s="1067"/>
      <c r="CU193" s="1067"/>
      <c r="CV193" s="1067"/>
      <c r="CW193" s="1067"/>
      <c r="CX193" s="1067"/>
      <c r="CY193" s="1067"/>
      <c r="CZ193" s="1067"/>
      <c r="DA193" s="1067"/>
      <c r="DB193" s="1067"/>
      <c r="DC193" s="1067"/>
      <c r="DD193" s="1067"/>
      <c r="DE193" s="1067"/>
      <c r="DF193" s="1067"/>
      <c r="DG193" s="1067"/>
      <c r="DH193" s="1067"/>
      <c r="DI193" s="1082">
        <v>0</v>
      </c>
      <c r="DJ193" s="1067">
        <f t="shared" si="177"/>
        <v>0</v>
      </c>
      <c r="DK193" s="1067"/>
      <c r="DL193" s="1067"/>
      <c r="DM193" s="1067"/>
      <c r="DN193" s="1067">
        <f t="shared" si="163"/>
        <v>0</v>
      </c>
      <c r="DO193" s="1067">
        <f t="shared" si="163"/>
        <v>0</v>
      </c>
      <c r="DP193" s="1067">
        <f t="shared" si="163"/>
        <v>0</v>
      </c>
      <c r="DQ193" s="1067">
        <f t="shared" si="163"/>
        <v>0</v>
      </c>
      <c r="DR193" s="1067"/>
      <c r="DS193" s="1067">
        <f t="shared" si="189"/>
        <v>0</v>
      </c>
      <c r="DT193" s="1067">
        <f t="shared" si="189"/>
        <v>0</v>
      </c>
      <c r="DU193" s="1067"/>
      <c r="DV193" s="1067">
        <f t="shared" si="190"/>
        <v>0</v>
      </c>
      <c r="DW193" s="1067">
        <f t="shared" si="190"/>
        <v>0</v>
      </c>
      <c r="DX193" s="1067">
        <f t="shared" si="190"/>
        <v>0</v>
      </c>
      <c r="DY193" s="1067">
        <f t="shared" si="191"/>
        <v>0</v>
      </c>
      <c r="DZ193" s="1067">
        <f t="shared" si="191"/>
        <v>0</v>
      </c>
      <c r="EA193" s="1067">
        <f t="shared" si="191"/>
        <v>0</v>
      </c>
      <c r="EB193" s="1067">
        <f t="shared" si="191"/>
        <v>0</v>
      </c>
      <c r="EC193" s="1067">
        <f t="shared" si="191"/>
        <v>0</v>
      </c>
      <c r="ED193" s="1067">
        <f t="shared" si="191"/>
        <v>0</v>
      </c>
    </row>
    <row r="194" spans="1:140" s="948" customFormat="1" ht="25.5" customHeight="1" thickTop="1" thickBot="1" x14ac:dyDescent="0.3">
      <c r="A194" s="1059"/>
      <c r="B194" s="1625" t="s">
        <v>4992</v>
      </c>
      <c r="C194" s="1626"/>
      <c r="D194" s="1626"/>
      <c r="E194" s="1637"/>
      <c r="F194" s="1004"/>
      <c r="G194" s="1064">
        <f>SUM(G129:G193)</f>
        <v>20835000000</v>
      </c>
      <c r="H194" s="1064">
        <f>SUM(H129:H193)</f>
        <v>5216574148</v>
      </c>
      <c r="I194" s="1064">
        <f>SUM(I129:I193)</f>
        <v>5915139592</v>
      </c>
      <c r="J194" s="1004"/>
      <c r="K194" s="1004"/>
      <c r="L194" s="1004"/>
      <c r="M194" s="1004"/>
      <c r="N194" s="1004"/>
      <c r="O194" s="1004"/>
      <c r="P194" s="1004"/>
      <c r="Q194" s="1004"/>
      <c r="R194" s="1004"/>
      <c r="S194" s="1004"/>
      <c r="T194" s="1004"/>
      <c r="U194" s="1004"/>
      <c r="V194" s="1004"/>
      <c r="W194" s="1004"/>
      <c r="X194" s="1004"/>
      <c r="Y194" s="1009">
        <f t="shared" ref="Y194:AS194" si="196">SUM(Y129:Y193)</f>
        <v>11131713740</v>
      </c>
      <c r="Z194" s="1009">
        <f t="shared" si="196"/>
        <v>0</v>
      </c>
      <c r="AA194" s="1009">
        <f t="shared" si="196"/>
        <v>0</v>
      </c>
      <c r="AB194" s="1009">
        <f t="shared" si="196"/>
        <v>0</v>
      </c>
      <c r="AC194" s="1009">
        <f t="shared" si="196"/>
        <v>9036421581</v>
      </c>
      <c r="AD194" s="1009">
        <f t="shared" si="196"/>
        <v>20011334</v>
      </c>
      <c r="AE194" s="1009">
        <f t="shared" si="196"/>
        <v>625000000</v>
      </c>
      <c r="AF194" s="1009">
        <f t="shared" si="196"/>
        <v>0</v>
      </c>
      <c r="AG194" s="1009">
        <f t="shared" si="196"/>
        <v>0</v>
      </c>
      <c r="AH194" s="1009">
        <f t="shared" si="196"/>
        <v>0</v>
      </c>
      <c r="AI194" s="1009">
        <f t="shared" si="196"/>
        <v>1940856</v>
      </c>
      <c r="AJ194" s="1009">
        <f t="shared" si="196"/>
        <v>3438802</v>
      </c>
      <c r="AK194" s="1009">
        <f t="shared" si="196"/>
        <v>318664514</v>
      </c>
      <c r="AL194" s="1009">
        <f t="shared" si="196"/>
        <v>0</v>
      </c>
      <c r="AM194" s="1009">
        <f t="shared" si="196"/>
        <v>0</v>
      </c>
      <c r="AN194" s="1009">
        <f t="shared" si="196"/>
        <v>214719551</v>
      </c>
      <c r="AO194" s="1009">
        <f t="shared" si="196"/>
        <v>347080402</v>
      </c>
      <c r="AP194" s="1009">
        <f t="shared" si="196"/>
        <v>0</v>
      </c>
      <c r="AQ194" s="1009">
        <f t="shared" si="196"/>
        <v>0</v>
      </c>
      <c r="AR194" s="1009">
        <f t="shared" si="196"/>
        <v>92524043</v>
      </c>
      <c r="AS194" s="1009">
        <f t="shared" si="196"/>
        <v>471912657</v>
      </c>
      <c r="AU194" s="1012">
        <f t="shared" si="180"/>
        <v>0.75423316311402022</v>
      </c>
      <c r="AV194" s="1009">
        <f>SUM(AV129:AV193)</f>
        <v>8395907665</v>
      </c>
      <c r="AW194" s="1009">
        <f>SUM(AW129:AW193)</f>
        <v>0</v>
      </c>
      <c r="AX194" s="1009">
        <f>SUM(AX129:AX193)</f>
        <v>0</v>
      </c>
      <c r="AY194" s="1009"/>
      <c r="AZ194" s="1009">
        <f t="shared" ref="AZ194:BP194" si="197">SUM(AZ129:AZ193)</f>
        <v>6802033338</v>
      </c>
      <c r="BA194" s="1009">
        <f t="shared" si="197"/>
        <v>17503290</v>
      </c>
      <c r="BB194" s="1009">
        <f t="shared" si="197"/>
        <v>559457154</v>
      </c>
      <c r="BC194" s="1009">
        <f t="shared" si="197"/>
        <v>0</v>
      </c>
      <c r="BD194" s="1009">
        <f t="shared" si="197"/>
        <v>0</v>
      </c>
      <c r="BE194" s="1009">
        <f t="shared" si="197"/>
        <v>0</v>
      </c>
      <c r="BF194" s="1009">
        <f t="shared" si="197"/>
        <v>0</v>
      </c>
      <c r="BG194" s="1009">
        <f t="shared" si="197"/>
        <v>0</v>
      </c>
      <c r="BH194" s="1009">
        <f t="shared" si="197"/>
        <v>166126063</v>
      </c>
      <c r="BI194" s="1009">
        <f t="shared" si="197"/>
        <v>0</v>
      </c>
      <c r="BJ194" s="1009">
        <f t="shared" si="197"/>
        <v>0</v>
      </c>
      <c r="BK194" s="1009">
        <f t="shared" si="197"/>
        <v>133011786</v>
      </c>
      <c r="BL194" s="1009">
        <f t="shared" si="197"/>
        <v>332064236</v>
      </c>
      <c r="BM194" s="1009">
        <f t="shared" si="197"/>
        <v>0</v>
      </c>
      <c r="BN194" s="1009">
        <f t="shared" si="197"/>
        <v>0</v>
      </c>
      <c r="BO194" s="1009">
        <f t="shared" si="197"/>
        <v>92524043</v>
      </c>
      <c r="BP194" s="1009">
        <f t="shared" si="197"/>
        <v>293187755</v>
      </c>
      <c r="BQ194" s="1012">
        <f t="shared" si="181"/>
        <v>0.24576683688597978</v>
      </c>
      <c r="BR194" s="1009">
        <f>SUM(BR129:BR193)</f>
        <v>2735806075</v>
      </c>
      <c r="BS194" s="1009">
        <f>SUM(BS129:BS193)</f>
        <v>0</v>
      </c>
      <c r="BT194" s="1009">
        <f>SUM(BT129:BT193)</f>
        <v>0</v>
      </c>
      <c r="BU194" s="1009"/>
      <c r="BV194" s="1009">
        <f t="shared" ref="BV194:CL194" si="198">SUM(BV129:BV193)</f>
        <v>2234388243</v>
      </c>
      <c r="BW194" s="1009">
        <f t="shared" si="198"/>
        <v>2508044</v>
      </c>
      <c r="BX194" s="1009">
        <f t="shared" si="198"/>
        <v>65542846</v>
      </c>
      <c r="BY194" s="1009">
        <f t="shared" si="198"/>
        <v>0</v>
      </c>
      <c r="BZ194" s="1009">
        <f t="shared" si="198"/>
        <v>0</v>
      </c>
      <c r="CA194" s="1009">
        <f t="shared" si="198"/>
        <v>0</v>
      </c>
      <c r="CB194" s="1009">
        <f t="shared" si="198"/>
        <v>1940856</v>
      </c>
      <c r="CC194" s="1009">
        <f t="shared" si="198"/>
        <v>3438802</v>
      </c>
      <c r="CD194" s="1009">
        <f t="shared" si="198"/>
        <v>152538451</v>
      </c>
      <c r="CE194" s="1009">
        <f t="shared" si="198"/>
        <v>0</v>
      </c>
      <c r="CF194" s="1009">
        <f t="shared" si="198"/>
        <v>0</v>
      </c>
      <c r="CG194" s="1009">
        <f t="shared" si="198"/>
        <v>81707765</v>
      </c>
      <c r="CH194" s="1009">
        <f t="shared" si="198"/>
        <v>15016166</v>
      </c>
      <c r="CI194" s="1009">
        <f t="shared" si="198"/>
        <v>0</v>
      </c>
      <c r="CJ194" s="1009">
        <f t="shared" si="198"/>
        <v>0</v>
      </c>
      <c r="CK194" s="1009">
        <f t="shared" si="198"/>
        <v>0</v>
      </c>
      <c r="CL194" s="1009">
        <f t="shared" si="198"/>
        <v>178724902</v>
      </c>
      <c r="CM194" s="1012">
        <f t="shared" si="187"/>
        <v>0.46862273589151782</v>
      </c>
      <c r="CN194" s="1009">
        <f>SUM(CN129:CN193)</f>
        <v>5216574148</v>
      </c>
      <c r="CO194" s="1009">
        <f>SUM(CO129:CO193)</f>
        <v>0</v>
      </c>
      <c r="CP194" s="1009">
        <f>SUM(CP129:CP193)</f>
        <v>0</v>
      </c>
      <c r="CQ194" s="1009"/>
      <c r="CR194" s="1009">
        <f t="shared" ref="CR194:DH194" si="199">SUM(CR129:CR193)</f>
        <v>4105993257</v>
      </c>
      <c r="CS194" s="1009">
        <f t="shared" si="199"/>
        <v>12550540</v>
      </c>
      <c r="CT194" s="1009">
        <f t="shared" si="199"/>
        <v>515313282</v>
      </c>
      <c r="CU194" s="1009">
        <f t="shared" si="199"/>
        <v>0</v>
      </c>
      <c r="CV194" s="1009">
        <f t="shared" si="199"/>
        <v>0</v>
      </c>
      <c r="CW194" s="1009">
        <f t="shared" si="199"/>
        <v>0</v>
      </c>
      <c r="CX194" s="1009">
        <f t="shared" si="199"/>
        <v>0</v>
      </c>
      <c r="CY194" s="1009">
        <f t="shared" si="199"/>
        <v>0</v>
      </c>
      <c r="CZ194" s="1009">
        <f t="shared" si="199"/>
        <v>50855038</v>
      </c>
      <c r="DA194" s="1009">
        <f t="shared" si="199"/>
        <v>0</v>
      </c>
      <c r="DB194" s="1009">
        <f t="shared" si="199"/>
        <v>0</v>
      </c>
      <c r="DC194" s="1009">
        <f t="shared" si="199"/>
        <v>107320865</v>
      </c>
      <c r="DD194" s="1009">
        <f t="shared" si="199"/>
        <v>231639575</v>
      </c>
      <c r="DE194" s="1009">
        <f t="shared" si="199"/>
        <v>0</v>
      </c>
      <c r="DF194" s="1009">
        <f t="shared" si="199"/>
        <v>0</v>
      </c>
      <c r="DG194" s="1009">
        <f t="shared" si="199"/>
        <v>0</v>
      </c>
      <c r="DH194" s="1009">
        <f t="shared" si="199"/>
        <v>192901591</v>
      </c>
      <c r="DI194" s="1012">
        <f t="shared" si="188"/>
        <v>0.53137726410848218</v>
      </c>
      <c r="DJ194" s="1009">
        <f t="shared" ref="DJ194:ED194" si="200">SUM(DJ129:DJ193)</f>
        <v>5915139592</v>
      </c>
      <c r="DK194" s="1009">
        <f t="shared" si="200"/>
        <v>0</v>
      </c>
      <c r="DL194" s="1009">
        <f t="shared" si="200"/>
        <v>0</v>
      </c>
      <c r="DM194" s="1009">
        <f t="shared" si="200"/>
        <v>0</v>
      </c>
      <c r="DN194" s="1009">
        <f t="shared" si="200"/>
        <v>4930428324</v>
      </c>
      <c r="DO194" s="1009">
        <f t="shared" si="200"/>
        <v>7460794</v>
      </c>
      <c r="DP194" s="1009">
        <f t="shared" si="200"/>
        <v>109686718</v>
      </c>
      <c r="DQ194" s="1009">
        <f t="shared" si="200"/>
        <v>0</v>
      </c>
      <c r="DR194" s="1009">
        <f t="shared" si="200"/>
        <v>0</v>
      </c>
      <c r="DS194" s="1009">
        <f t="shared" si="200"/>
        <v>0</v>
      </c>
      <c r="DT194" s="1009">
        <f t="shared" si="200"/>
        <v>1940856</v>
      </c>
      <c r="DU194" s="1009">
        <f t="shared" si="200"/>
        <v>3438802</v>
      </c>
      <c r="DV194" s="1009">
        <f t="shared" si="200"/>
        <v>267809476</v>
      </c>
      <c r="DW194" s="1009">
        <f t="shared" si="200"/>
        <v>0</v>
      </c>
      <c r="DX194" s="1009">
        <f t="shared" si="200"/>
        <v>0</v>
      </c>
      <c r="DY194" s="1009">
        <f t="shared" si="200"/>
        <v>107398686</v>
      </c>
      <c r="DZ194" s="1009">
        <f t="shared" si="200"/>
        <v>115440827</v>
      </c>
      <c r="EA194" s="1009">
        <f t="shared" si="200"/>
        <v>0</v>
      </c>
      <c r="EB194" s="1009">
        <f t="shared" si="200"/>
        <v>0</v>
      </c>
      <c r="EC194" s="1009">
        <f t="shared" si="200"/>
        <v>92524043</v>
      </c>
      <c r="ED194" s="1009">
        <f t="shared" si="200"/>
        <v>279011066</v>
      </c>
    </row>
    <row r="195" spans="1:140" ht="12" customHeight="1" thickTop="1" x14ac:dyDescent="0.25">
      <c r="C195" s="963"/>
      <c r="D195" s="963"/>
      <c r="E195" s="963"/>
      <c r="F195" s="963"/>
      <c r="G195" s="963"/>
      <c r="H195" s="963"/>
      <c r="I195" s="963"/>
      <c r="J195" s="963"/>
      <c r="K195" s="963"/>
      <c r="L195" s="963"/>
      <c r="M195" s="963"/>
      <c r="N195" s="963"/>
      <c r="O195" s="963"/>
      <c r="P195" s="963"/>
      <c r="Q195" s="963"/>
      <c r="R195" s="963"/>
      <c r="S195" s="963"/>
      <c r="T195" s="963"/>
      <c r="U195" s="963"/>
      <c r="V195" s="963"/>
      <c r="W195" s="963"/>
      <c r="X195" s="963"/>
      <c r="Y195" s="992"/>
      <c r="Z195" s="992"/>
      <c r="AA195" s="992"/>
      <c r="AB195" s="992"/>
      <c r="AC195" s="993"/>
      <c r="AD195" s="992"/>
      <c r="AE195" s="686"/>
      <c r="AF195" s="686"/>
      <c r="AG195" s="686"/>
      <c r="AH195" s="686"/>
      <c r="AI195" s="686"/>
      <c r="AJ195" s="686"/>
      <c r="AK195" s="686"/>
      <c r="AL195" s="686"/>
      <c r="AM195" s="686"/>
      <c r="AN195" s="686"/>
      <c r="AO195" s="686"/>
      <c r="AP195" s="686"/>
      <c r="AQ195" s="686"/>
      <c r="AR195" s="686"/>
      <c r="AS195" s="686"/>
      <c r="AU195" s="1005"/>
      <c r="AV195" s="875"/>
      <c r="AW195" s="875"/>
      <c r="AX195" s="875"/>
      <c r="AY195" s="875"/>
      <c r="AZ195" s="875"/>
      <c r="BA195" s="875"/>
      <c r="BB195" s="875"/>
      <c r="BC195" s="875"/>
      <c r="BD195" s="875"/>
      <c r="BE195" s="875"/>
      <c r="BF195" s="875"/>
      <c r="BG195" s="875"/>
      <c r="BH195" s="875"/>
      <c r="BI195" s="875"/>
      <c r="BJ195" s="875"/>
      <c r="BK195" s="875"/>
      <c r="BL195" s="875"/>
      <c r="BM195" s="875"/>
      <c r="BN195" s="875"/>
      <c r="BO195" s="875"/>
      <c r="BP195" s="875"/>
      <c r="BQ195" s="1005"/>
      <c r="BR195" s="875"/>
      <c r="BS195" s="875"/>
      <c r="BT195" s="875"/>
      <c r="BU195" s="875"/>
      <c r="BV195" s="875"/>
      <c r="BW195" s="875"/>
      <c r="BX195" s="875"/>
      <c r="BY195" s="875"/>
      <c r="BZ195" s="875"/>
      <c r="CA195" s="875"/>
      <c r="CB195" s="875"/>
      <c r="CC195" s="875"/>
      <c r="CD195" s="875"/>
      <c r="CE195" s="875"/>
      <c r="CF195" s="875"/>
      <c r="CG195" s="875"/>
      <c r="CH195" s="875"/>
      <c r="CI195" s="875"/>
      <c r="CJ195" s="875"/>
      <c r="CK195" s="875"/>
      <c r="CL195" s="875"/>
      <c r="CM195" s="1005"/>
      <c r="CN195" s="1045"/>
      <c r="CO195" s="875"/>
      <c r="CP195" s="875"/>
      <c r="CQ195" s="875"/>
      <c r="CR195" s="875"/>
      <c r="CS195" s="875"/>
      <c r="CT195" s="875"/>
      <c r="CU195" s="875"/>
      <c r="CV195" s="875"/>
      <c r="CW195" s="875"/>
      <c r="CX195" s="875"/>
      <c r="CY195" s="875"/>
      <c r="CZ195" s="875"/>
      <c r="DA195" s="875"/>
      <c r="DB195" s="875"/>
      <c r="DC195" s="875"/>
      <c r="DD195" s="875"/>
      <c r="DE195" s="875"/>
      <c r="DF195" s="875"/>
      <c r="DG195" s="875"/>
      <c r="DH195" s="875"/>
      <c r="DI195" s="1005"/>
      <c r="DJ195" s="875"/>
      <c r="DK195" s="875"/>
      <c r="DL195" s="875"/>
      <c r="DM195" s="875"/>
      <c r="DN195" s="875"/>
      <c r="DO195" s="875"/>
      <c r="DP195" s="875"/>
      <c r="DQ195" s="875"/>
      <c r="DR195" s="875"/>
      <c r="DS195" s="875"/>
      <c r="DT195" s="875"/>
      <c r="DU195" s="875"/>
      <c r="DV195" s="875"/>
      <c r="DW195" s="875"/>
      <c r="DX195" s="875"/>
      <c r="DY195" s="875"/>
      <c r="DZ195" s="875"/>
      <c r="EA195" s="875"/>
      <c r="EB195" s="875"/>
      <c r="EC195" s="875"/>
      <c r="ED195" s="875"/>
      <c r="EH195" t="s">
        <v>4985</v>
      </c>
      <c r="EI195" t="s">
        <v>4986</v>
      </c>
      <c r="EJ195" t="s">
        <v>4987</v>
      </c>
    </row>
    <row r="196" spans="1:140" ht="19.5" customHeight="1" x14ac:dyDescent="0.25">
      <c r="C196" s="1233" t="s">
        <v>622</v>
      </c>
      <c r="D196" s="1248"/>
      <c r="E196" s="1266"/>
      <c r="F196" s="242"/>
      <c r="G196" s="875">
        <f>G34+G67+G104+G128+G194</f>
        <v>31953000000</v>
      </c>
      <c r="H196" s="1060">
        <f>H34+H67+H104+H128+H194</f>
        <v>14482181979</v>
      </c>
      <c r="I196" s="1060">
        <f>I34+I67+I104+I128+I194</f>
        <v>10606911324</v>
      </c>
      <c r="J196" s="242"/>
      <c r="K196" s="242"/>
      <c r="L196" s="242"/>
      <c r="M196" s="242"/>
      <c r="N196" s="242"/>
      <c r="O196" s="242"/>
      <c r="P196" s="242"/>
      <c r="Q196" s="242"/>
      <c r="R196" s="242"/>
      <c r="S196" s="242"/>
      <c r="T196" s="242"/>
      <c r="U196" s="242"/>
      <c r="V196" s="242"/>
      <c r="W196" s="242"/>
      <c r="X196" s="242"/>
      <c r="Y196" s="875">
        <f>Y34+Y67+Y104+Y128+Y194</f>
        <v>25089093303</v>
      </c>
      <c r="Z196" s="875">
        <f>Z34+Z67+Z104+Z128+Z194</f>
        <v>104079469</v>
      </c>
      <c r="AA196" s="875">
        <f>AA34+AA67+AA104+AA128+AA194</f>
        <v>134533656</v>
      </c>
      <c r="AB196" s="875">
        <f>AB34+AB67+AB104+AB128+AB194</f>
        <v>396726534</v>
      </c>
      <c r="AC196" s="875">
        <f>AC34+AC67+AC104+AC128+AC194</f>
        <v>9862143612</v>
      </c>
      <c r="AD196" s="875">
        <f>AD34+AD67+AD104+AD128+AD194</f>
        <v>92895874</v>
      </c>
      <c r="AE196" s="875">
        <f>AE34+AE67+AE104+AE128+AE194</f>
        <v>2509180877</v>
      </c>
      <c r="AF196" s="875">
        <f>AF34+AF67+AF104+AF128+AF194</f>
        <v>1300000000</v>
      </c>
      <c r="AG196" s="875">
        <f>AG34+AG67+AG104+AG128+AG194</f>
        <v>102810569</v>
      </c>
      <c r="AH196" s="875">
        <f>AH34+AH67+AH104+AH128+AH194</f>
        <v>219471348</v>
      </c>
      <c r="AI196" s="875">
        <f>AI34+AI67+AI104+AI128+AI194</f>
        <v>1940856</v>
      </c>
      <c r="AJ196" s="875">
        <f>AJ34+AJ67+AJ104+AJ128+AJ194</f>
        <v>3438802</v>
      </c>
      <c r="AK196" s="875">
        <f>AK34+AK67+AK104+AK128+AK194</f>
        <v>318664514</v>
      </c>
      <c r="AL196" s="875">
        <f>AL34+AL67+AL104+AL128+AL194</f>
        <v>4114878115</v>
      </c>
      <c r="AM196" s="875">
        <f>AM34+AM67+AM104+AM128+AM194</f>
        <v>1077016006</v>
      </c>
      <c r="AN196" s="875">
        <f>AN34+AN67+AN104+AN128+AN194</f>
        <v>1074256830</v>
      </c>
      <c r="AO196" s="875">
        <f>AO34+AO67+AO104+AO128+AO194</f>
        <v>999377331</v>
      </c>
      <c r="AP196" s="875">
        <f>AP34+AP67+AP104+AP128+AP194</f>
        <v>1181607989</v>
      </c>
      <c r="AQ196" s="875">
        <f>AQ34+AQ67+AQ104+AQ128+AQ194</f>
        <v>80844085</v>
      </c>
      <c r="AR196" s="875">
        <f>AR34+AR67+AR104+AR128+AR194</f>
        <v>92524043</v>
      </c>
      <c r="AS196" s="875">
        <f>AS34+AS67+AS104+AS128+AS194</f>
        <v>1422702793</v>
      </c>
      <c r="AU196" s="238">
        <f>+AV196/Y196</f>
        <v>0.7948572974781607</v>
      </c>
      <c r="AV196" s="875">
        <f>AV34+AV67+AV104+AV128+AV194</f>
        <v>19942248899</v>
      </c>
      <c r="AW196" s="875">
        <f>AW34+AW67+AW104+AW128+AW194</f>
        <v>103245422</v>
      </c>
      <c r="AX196" s="875">
        <f>AX34+AX67+AX104+AX128+AX194</f>
        <v>127311678</v>
      </c>
      <c r="AY196" s="875">
        <f>AY34+AY67+AY104+AY128+AY194</f>
        <v>364926534</v>
      </c>
      <c r="AZ196" s="875">
        <f>AZ34+AZ67+AZ104+AZ128+AZ194</f>
        <v>7617755369</v>
      </c>
      <c r="BA196" s="875">
        <f>BA34+BA67+BA104+BA128+BA194</f>
        <v>17503290</v>
      </c>
      <c r="BB196" s="875">
        <f>BB34+BB67+BB104+BB128+BB194</f>
        <v>2155554199</v>
      </c>
      <c r="BC196" s="875">
        <f>BC34+BC67+BC104+BC128+BC194</f>
        <v>1164170675</v>
      </c>
      <c r="BD196" s="875">
        <f>BD34+BD67+BD104+BD128+BD194</f>
        <v>102810569</v>
      </c>
      <c r="BE196" s="875">
        <f>BE34+BE67+BE104+BE128+BE194</f>
        <v>219471348</v>
      </c>
      <c r="BF196" s="875">
        <f>BF34+BF67+BF104+BF128+BF194</f>
        <v>0</v>
      </c>
      <c r="BG196" s="875">
        <f>BG34+BG67+BG104+BG128+BG194</f>
        <v>0</v>
      </c>
      <c r="BH196" s="875">
        <f>BH34+BH67+BH104+BH128+BH194</f>
        <v>166126063</v>
      </c>
      <c r="BI196" s="875">
        <f>BI34+BI67+BI104+BI128+BI194</f>
        <v>2656492070</v>
      </c>
      <c r="BJ196" s="875">
        <f>BJ34+BJ67+BJ104+BJ128+BJ194</f>
        <v>939954586</v>
      </c>
      <c r="BK196" s="875">
        <f>BK34+BK67+BK104+BK128+BK194</f>
        <v>821534672</v>
      </c>
      <c r="BL196" s="875">
        <f>BL34+BL67+BL104+BL128+BL194</f>
        <v>954787936</v>
      </c>
      <c r="BM196" s="875">
        <f>BM34+BM67+BM104+BM128+BM194</f>
        <v>1141064355</v>
      </c>
      <c r="BN196" s="875">
        <f>BN34+BN67+BN104+BN128+BN194</f>
        <v>80844085</v>
      </c>
      <c r="BO196" s="875">
        <f>BO34+BO67+BO104+BO128+BO194</f>
        <v>92524043</v>
      </c>
      <c r="BP196" s="875">
        <f>BP34+BP67+BP104+BP128+BP194</f>
        <v>1143287465</v>
      </c>
      <c r="BQ196" s="950">
        <f>1-AU196</f>
        <v>0.2051427025218393</v>
      </c>
      <c r="BR196" s="875">
        <f>BR34+BR67+BR104+BR128+BR194</f>
        <v>5146844404</v>
      </c>
      <c r="BS196" s="875">
        <f>BS34+BS67+BS104+BS128+BS194</f>
        <v>834047</v>
      </c>
      <c r="BT196" s="875">
        <f>BT34+BT67+BT104+BT128+BT194</f>
        <v>7221978</v>
      </c>
      <c r="BU196" s="875">
        <f>BU34+BU67+BU104+BU128+BU194</f>
        <v>31800000</v>
      </c>
      <c r="BV196" s="875">
        <f>BV34+BV67+BV104+BV128+BV194</f>
        <v>2244388243</v>
      </c>
      <c r="BW196" s="875">
        <f>BW34+BW67+BW104+BW128+BW194</f>
        <v>2508044</v>
      </c>
      <c r="BX196" s="875">
        <f>BX34+BX67+BX104+BX128+BX194</f>
        <v>353626678</v>
      </c>
      <c r="BY196" s="875">
        <f>BY34+BY67+BY104+BY128+BY194</f>
        <v>135829325</v>
      </c>
      <c r="BZ196" s="875">
        <f>BZ34+BZ67+BZ104+BZ128+BZ194</f>
        <v>0</v>
      </c>
      <c r="CA196" s="875">
        <f>CA34+CA67+CA104+CA128+CA194</f>
        <v>0</v>
      </c>
      <c r="CB196" s="875">
        <f>CB34+CB67+CB104+CB128+CB194</f>
        <v>1940856</v>
      </c>
      <c r="CC196" s="875">
        <f>CC34+CC67+CC104+CC128+CC194</f>
        <v>3438802</v>
      </c>
      <c r="CD196" s="875">
        <f>CD34+CD67+CD104+CD128+CD194</f>
        <v>152538451</v>
      </c>
      <c r="CE196" s="875">
        <f>CE34+CE67+CE104+CE128+CE194</f>
        <v>1458386045</v>
      </c>
      <c r="CF196" s="875">
        <f>CF34+CF67+CF104+CF128+CF194</f>
        <v>137061420</v>
      </c>
      <c r="CG196" s="875">
        <f>CG34+CG67+CG104+CG128+CG194</f>
        <v>252722158</v>
      </c>
      <c r="CH196" s="875">
        <f>CH34+CH67+CH104+CH128+CH194</f>
        <v>44589395</v>
      </c>
      <c r="CI196" s="875">
        <f>CI34+CI67+CI104+CI128+CI194</f>
        <v>40543634</v>
      </c>
      <c r="CJ196" s="875">
        <f>CJ34+CJ67+CJ104+CJ128+CJ194</f>
        <v>0</v>
      </c>
      <c r="CK196" s="875">
        <f>CK34+CK67+CK104+CK128+CK194</f>
        <v>0</v>
      </c>
      <c r="CL196" s="875">
        <f>CL34+CL67+CL104+CL128+CL194</f>
        <v>279415328</v>
      </c>
      <c r="CM196" s="950">
        <f>+CN196/Y196</f>
        <v>0.57723018540762927</v>
      </c>
      <c r="CN196" s="875">
        <f>CN34+CN67+CN104+CN128+CN194</f>
        <v>14482181979</v>
      </c>
      <c r="CO196" s="875">
        <f>CO34+CO67+CO104+CO128+CO194</f>
        <v>94013966</v>
      </c>
      <c r="CP196" s="875">
        <f>CP34+CP67+CP104+CP128+CP194</f>
        <v>127311678</v>
      </c>
      <c r="CQ196" s="875">
        <f>CQ34+CQ67+CQ104+CQ128+CQ194</f>
        <v>364926534</v>
      </c>
      <c r="CR196" s="875">
        <f>CR34+CR67+CR104+CR128+CR194</f>
        <v>4707463138</v>
      </c>
      <c r="CS196" s="875">
        <f>CS34+CS67+CS104+CS128+CS194</f>
        <v>12550540</v>
      </c>
      <c r="CT196" s="875">
        <f>CT34+CT67+CT104+CT128+CT194</f>
        <v>1939216290</v>
      </c>
      <c r="CU196" s="875">
        <f>CU34+CU67+CU104+CU128+CU194</f>
        <v>1019225454</v>
      </c>
      <c r="CV196" s="875">
        <f>CV34+CV67+CV104+CV128+CV194</f>
        <v>102810569</v>
      </c>
      <c r="CW196" s="875">
        <f>CW34+CW67+CW104+CW128+CW194</f>
        <v>129471348</v>
      </c>
      <c r="CX196" s="875">
        <f>CX34+CX67+CX104+CX128+CX194</f>
        <v>0</v>
      </c>
      <c r="CY196" s="875">
        <f>CY34+CY67+CY104+CY128+CY194</f>
        <v>0</v>
      </c>
      <c r="CZ196" s="875">
        <f>CZ34+CZ67+CZ104+CZ128+CZ194</f>
        <v>50855038</v>
      </c>
      <c r="DA196" s="875">
        <f>DA34+DA67+DA104+DA128+DA194</f>
        <v>1689569911</v>
      </c>
      <c r="DB196" s="875">
        <f>DB34+DB67+DB104+DB128+DB194</f>
        <v>833345661</v>
      </c>
      <c r="DC196" s="875">
        <f>DC34+DC67+DC104+DC128+DC194</f>
        <v>730796139</v>
      </c>
      <c r="DD196" s="875">
        <f>DD34+DD67+DD104+DD128+DD194</f>
        <v>659953051</v>
      </c>
      <c r="DE196" s="875">
        <f>DE34+DE67+DE104+DE128+DE194</f>
        <v>1082996639</v>
      </c>
      <c r="DF196" s="875">
        <f>DF34+DF67+DF104+DF128+DF194</f>
        <v>32548551</v>
      </c>
      <c r="DG196" s="875">
        <f>DG34+DG67+DG104+DG128+DG194</f>
        <v>0</v>
      </c>
      <c r="DH196" s="875">
        <f>DH34+DH67+DH104+DH128+DH194</f>
        <v>905127472</v>
      </c>
      <c r="DI196" s="875">
        <f>DI34+DI67+DI104+DI128+DI194</f>
        <v>1.7893462788510532</v>
      </c>
      <c r="DJ196" s="875">
        <f>DJ34+DJ67+DJ104+DJ128+DJ194</f>
        <v>10606911324</v>
      </c>
      <c r="DK196" s="875">
        <f>DK34+DK67+DK104+DK128+DK194</f>
        <v>10065503</v>
      </c>
      <c r="DL196" s="875">
        <f>DL34+DL67+DL104+DL128+DL194</f>
        <v>7221978</v>
      </c>
      <c r="DM196" s="875">
        <f>DM34+DM67+DM104+DM128+DM194</f>
        <v>31800000</v>
      </c>
      <c r="DN196" s="875">
        <f>DN34+DN67+DN104+DN128+DN194</f>
        <v>5154680474</v>
      </c>
      <c r="DO196" s="875">
        <f>DO34+DO67+DO104+DO128+DO194</f>
        <v>80345334</v>
      </c>
      <c r="DP196" s="875">
        <f>DP34+DP67+DP104+DP128+DP194</f>
        <v>569964587</v>
      </c>
      <c r="DQ196" s="875">
        <f>DQ34+DQ67+DQ104+DQ128+DQ194</f>
        <v>280774546</v>
      </c>
      <c r="DR196" s="875">
        <f>DR34+DR67+DR104+DR128+DR194</f>
        <v>0</v>
      </c>
      <c r="DS196" s="875">
        <f>DS34+DS67+DS104+DS128+DS194</f>
        <v>90000000</v>
      </c>
      <c r="DT196" s="875">
        <f>DT34+DT67+DT104+DT128+DT194</f>
        <v>1940856</v>
      </c>
      <c r="DU196" s="875">
        <f>DU34+DU67+DU104+DU128+DU194</f>
        <v>3438802</v>
      </c>
      <c r="DV196" s="875">
        <f>DV34+DV67+DV104+DV128+DV194</f>
        <v>267809476</v>
      </c>
      <c r="DW196" s="875">
        <f>DW34+DW67+DW104+DW128+DW194</f>
        <v>2425308204</v>
      </c>
      <c r="DX196" s="875">
        <f>DX34+DX67+DX104+DX128+DX194</f>
        <v>243670345</v>
      </c>
      <c r="DY196" s="875">
        <f>DY34+DY67+DY104+DY128+DY194</f>
        <v>343460691</v>
      </c>
      <c r="DZ196" s="875">
        <f>DZ34+DZ67+DZ104+DZ128+DZ194</f>
        <v>339424280</v>
      </c>
      <c r="EA196" s="875">
        <f>EA34+EA67+EA104+EA128+EA194</f>
        <v>98611350</v>
      </c>
      <c r="EB196" s="875">
        <f>EB34+EB67+EB104+EB128+EB194</f>
        <v>48295534</v>
      </c>
      <c r="EC196" s="875">
        <f>EC34+EC67+EC104+EC128+EC194</f>
        <v>92524043</v>
      </c>
      <c r="ED196" s="875">
        <f>ED34+ED67+ED104+ED128+ED194</f>
        <v>517575321</v>
      </c>
      <c r="EF196" s="1621" t="s">
        <v>4980</v>
      </c>
      <c r="EH196" s="951">
        <v>1877108763</v>
      </c>
      <c r="EI196" s="951">
        <v>1122567751</v>
      </c>
      <c r="EJ196" s="1638">
        <v>0.59799999999999998</v>
      </c>
    </row>
    <row r="197" spans="1:140" ht="15.75" customHeight="1" x14ac:dyDescent="0.25">
      <c r="C197" s="118"/>
      <c r="D197" s="118"/>
      <c r="E197" s="123"/>
      <c r="F197" s="123"/>
      <c r="G197" s="1092"/>
      <c r="H197" s="123"/>
      <c r="I197" s="123"/>
      <c r="J197" s="123"/>
      <c r="K197" s="123"/>
      <c r="L197" s="123"/>
      <c r="M197" s="123"/>
      <c r="N197" s="123"/>
      <c r="O197" s="123"/>
      <c r="P197" s="123"/>
      <c r="Q197" s="123"/>
      <c r="R197" s="123"/>
      <c r="S197" s="123"/>
      <c r="T197" s="123"/>
      <c r="U197" s="123"/>
      <c r="V197" s="123"/>
      <c r="W197" s="123"/>
      <c r="X197" s="123"/>
      <c r="Y197" s="961"/>
      <c r="Z197" s="961"/>
      <c r="AA197" s="961"/>
      <c r="AB197" s="961"/>
      <c r="AC197" s="979"/>
      <c r="AD197" s="961"/>
      <c r="AE197" s="122"/>
      <c r="AF197" s="122"/>
      <c r="AG197" s="122"/>
      <c r="AH197" s="122"/>
      <c r="AI197" s="122"/>
      <c r="AJ197" s="122"/>
      <c r="AK197" s="122"/>
      <c r="AL197" s="122"/>
      <c r="AM197" s="122"/>
      <c r="AN197" s="122"/>
      <c r="AO197" s="122"/>
      <c r="AP197" s="122"/>
      <c r="AQ197" s="122"/>
      <c r="AR197" s="122"/>
      <c r="AS197" s="122"/>
      <c r="AU197" s="239"/>
      <c r="AV197" s="148"/>
      <c r="AW197" s="148"/>
      <c r="AX197" s="148"/>
      <c r="AY197" s="148"/>
      <c r="AZ197" s="148"/>
      <c r="BA197" s="148"/>
      <c r="BB197" s="122"/>
      <c r="BC197" s="122"/>
      <c r="BD197" s="122"/>
      <c r="BE197" s="122"/>
      <c r="BF197" s="122"/>
      <c r="BG197" s="122"/>
      <c r="BH197" s="122"/>
      <c r="BI197" s="122"/>
      <c r="BJ197" s="122"/>
      <c r="BK197" s="122"/>
      <c r="BL197" s="122"/>
      <c r="BM197" s="122"/>
      <c r="BN197" s="122"/>
      <c r="BO197" s="122"/>
      <c r="BP197" s="122"/>
      <c r="BQ197" s="239"/>
      <c r="BR197" s="148"/>
      <c r="BS197" s="148"/>
      <c r="BT197" s="148"/>
      <c r="BU197" s="148"/>
      <c r="BV197" s="148"/>
      <c r="BW197" s="148"/>
      <c r="BX197" s="207"/>
      <c r="BY197" s="207"/>
      <c r="BZ197" s="207"/>
      <c r="CA197" s="207"/>
      <c r="CB197" s="207"/>
      <c r="CC197" s="207"/>
      <c r="CD197" s="207"/>
      <c r="CE197" s="207"/>
      <c r="CF197" s="207"/>
      <c r="CG197" s="207"/>
      <c r="CH197" s="207"/>
      <c r="CI197" s="207"/>
      <c r="CJ197" s="207"/>
      <c r="CK197" s="207"/>
      <c r="CL197" s="207"/>
      <c r="CM197" s="239"/>
      <c r="CN197" s="1046"/>
      <c r="CO197" s="169"/>
      <c r="CP197" s="169"/>
      <c r="CQ197" s="169"/>
      <c r="CR197" s="169"/>
      <c r="CS197" s="169"/>
      <c r="CT197" s="122"/>
      <c r="CU197" s="122"/>
      <c r="CV197" s="122"/>
      <c r="CW197" s="122"/>
      <c r="CX197" s="122"/>
      <c r="CY197" s="122"/>
      <c r="CZ197" s="122"/>
      <c r="DA197" s="122"/>
      <c r="DB197" s="122"/>
      <c r="DC197" s="122"/>
      <c r="DD197" s="122"/>
      <c r="DE197" s="122"/>
      <c r="DF197" s="122"/>
      <c r="DG197" s="122"/>
      <c r="DH197" s="122"/>
      <c r="DI197" s="1011"/>
      <c r="DJ197" s="1039"/>
      <c r="DK197" s="148"/>
      <c r="DL197" s="148"/>
      <c r="DM197" s="148"/>
      <c r="DN197" s="148"/>
      <c r="DO197" s="148"/>
      <c r="DP197" s="207"/>
      <c r="DQ197" s="207"/>
      <c r="DR197" s="207"/>
      <c r="DS197" s="207"/>
      <c r="DT197" s="207"/>
      <c r="DU197" s="207"/>
      <c r="DV197" s="207"/>
      <c r="DW197" s="207"/>
      <c r="DX197" s="207"/>
      <c r="DY197" s="207"/>
      <c r="DZ197" s="207"/>
      <c r="EA197" s="207"/>
      <c r="EB197" s="207"/>
      <c r="EC197" s="207"/>
      <c r="ED197" s="207"/>
      <c r="EF197" s="1621" t="s">
        <v>4981</v>
      </c>
      <c r="EH197" s="951">
        <v>6535792729</v>
      </c>
      <c r="EI197" s="951">
        <v>3906305329</v>
      </c>
      <c r="EJ197" s="1638">
        <v>0.59770000000000001</v>
      </c>
    </row>
    <row r="198" spans="1:140" ht="16.5" customHeight="1" x14ac:dyDescent="0.25">
      <c r="C198" s="1048"/>
      <c r="D198" s="1121" t="s">
        <v>3753</v>
      </c>
      <c r="E198" s="239">
        <v>111</v>
      </c>
      <c r="F198" s="133"/>
      <c r="G198" s="875">
        <f>SUMIF($E$4:$E$193,"111",$G$4:$G$193)</f>
        <v>20073000000</v>
      </c>
      <c r="H198" s="1060">
        <f>SUMIF($E$4:$E$193,"111",$H$4:$H$193)</f>
        <v>2281390174</v>
      </c>
      <c r="I198" s="1060">
        <f>SUMIF($E$4:$E$193,"111",$I$4:$I$193)</f>
        <v>4376207355</v>
      </c>
      <c r="J198" s="133"/>
      <c r="K198" s="133"/>
      <c r="L198" s="133"/>
      <c r="M198" s="133"/>
      <c r="N198" s="133"/>
      <c r="O198" s="133"/>
      <c r="P198" s="133"/>
      <c r="Q198" s="133"/>
      <c r="R198" s="133"/>
      <c r="S198" s="133"/>
      <c r="T198" s="133"/>
      <c r="U198" s="133"/>
      <c r="V198" s="133"/>
      <c r="W198" s="133"/>
      <c r="X198" s="133"/>
      <c r="Y198" s="951">
        <f>SUMIF($E$4:$E$193,"111",$Y$4:$Y$193)</f>
        <v>6657597529</v>
      </c>
      <c r="Z198" s="951">
        <f>SUMIF($E$4:$E$193,"111",$Z$4:$Z$193)</f>
        <v>0</v>
      </c>
      <c r="AA198" s="216">
        <f>SUMIF($E$4:$E$194,"111",$AA$4:$AA$194)</f>
        <v>0</v>
      </c>
      <c r="AB198" s="216">
        <f>SUMIF($E$4:$E$194,"111",$AB$4:$AB$194)</f>
        <v>0</v>
      </c>
      <c r="AC198" s="216">
        <f>SUMIF($E$4:$E$194,"111",$AC$4:$AC$194)</f>
        <v>6143356148</v>
      </c>
      <c r="AD198" s="951">
        <f>SUMIF($E$4:$E$193,"111",$AD$4:$AD$193)</f>
        <v>20011334</v>
      </c>
      <c r="AE198" s="133">
        <f>SUMIF($E$4:$E$194,"111",$AE$4:$AE$194)</f>
        <v>5000000</v>
      </c>
      <c r="AF198" s="133">
        <f>SUMIF($E$4:$E$191,"111",$AF$4:$AF$191)</f>
        <v>0</v>
      </c>
      <c r="AG198" s="133">
        <f>SUMIF($E$4:$E$191,"111",$AG$4:$AG$191)</f>
        <v>0</v>
      </c>
      <c r="AH198" s="133">
        <f>SUMIF($E$4:$E$191,"111",$AH$4:$AH$191)</f>
        <v>0</v>
      </c>
      <c r="AI198" s="133">
        <f>SUMIF($E$4:$E$191,"111",$AI$4:$AI$191)</f>
        <v>1940856</v>
      </c>
      <c r="AJ198" s="133">
        <f>SUMIF($E$4:$E$191,"111",$AJ$4:$AJ$191)</f>
        <v>3438802</v>
      </c>
      <c r="AK198" s="133">
        <f>SUMIF($E$4:$E$191,"111",$AK$4:$AK$191)</f>
        <v>186380309</v>
      </c>
      <c r="AL198" s="133">
        <f>SUMIF($E$4:$E$191,"111",$AL$4:$AL$191)</f>
        <v>0</v>
      </c>
      <c r="AM198" s="133">
        <f>SUMIF($E$4:$E$191,"111",$AM$4:$AM$191)</f>
        <v>0</v>
      </c>
      <c r="AN198" s="133">
        <f>SUMIF($E$4:$E$191,"111",$AN$4:$AN$191)</f>
        <v>75649551</v>
      </c>
      <c r="AO198" s="133">
        <f>SUMIF($E$4:$E$191,"111",$AO$4:$AO$191)</f>
        <v>28705529</v>
      </c>
      <c r="AP198" s="133">
        <f>SUMIF($E$4:$E$191,"111",$AP$4:$AP$191)</f>
        <v>0</v>
      </c>
      <c r="AQ198" s="133">
        <f>SUMIF($E$4:$E$191,"111",$AQ$4:$AQ$191)</f>
        <v>0</v>
      </c>
      <c r="AR198" s="133">
        <f>SUMIF($E$4:$E$191,"111",$AR$4:$AR$191)</f>
        <v>0</v>
      </c>
      <c r="AS198" s="133">
        <f>SUMIF($E$4:$E$193,"111",$AS$4:$AS$193)</f>
        <v>193115000</v>
      </c>
      <c r="AU198" s="946">
        <f t="shared" ref="AU198:AU206" si="201">+AV198/Y198</f>
        <v>0.67672915753390839</v>
      </c>
      <c r="AV198" s="218">
        <f t="shared" ref="AV198:AV203" si="202">SUM(AW198:BP198)</f>
        <v>4505390367</v>
      </c>
      <c r="AW198" s="951">
        <f>SUMIF($E$4:$E$193,"111",$AW$4:$AW$193)</f>
        <v>0</v>
      </c>
      <c r="AX198" s="951">
        <f>SUMIF($E$4:$E$193,"111",$AX$4:$AX$193)</f>
        <v>0</v>
      </c>
      <c r="AY198" s="951">
        <f>SUMIF($E$4:$E$193,"111",$AY$4:$AY$193)</f>
        <v>0</v>
      </c>
      <c r="AZ198" s="951">
        <f>SUMIF($E$4:$E$193,"111",$AZ$4:$AZ$193)</f>
        <v>4277839358</v>
      </c>
      <c r="BA198" s="951">
        <f>SUMIF($E$4:$E$193,"111",$BA$4:$BA$193)</f>
        <v>17503290</v>
      </c>
      <c r="BB198" s="951">
        <f>SUMIF($E$4:$E$193,"111",$BB$4:$BB$193)</f>
        <v>0</v>
      </c>
      <c r="BC198" s="951">
        <f>SUMIF($E$4:$E$193,"111",$BC$4:$BC$193)</f>
        <v>0</v>
      </c>
      <c r="BD198" s="951">
        <f>SUMIF($E$4:$E$193,"111",$BD$4:$BD$193)</f>
        <v>0</v>
      </c>
      <c r="BE198" s="951">
        <f>SUMIF($E$4:$E$193,"111",$BE$4:$BE$193)</f>
        <v>0</v>
      </c>
      <c r="BF198" s="951">
        <f>SUMIF($E$4:$E$193,"111",$BF$4:$BF$193)</f>
        <v>0</v>
      </c>
      <c r="BG198" s="951">
        <f>SUMIF($E$4:$E$191,"111",$BG$4:$BG$191)</f>
        <v>0</v>
      </c>
      <c r="BH198" s="951">
        <f>SUMIF($E$4:$E$191,"111",$BH$4:$BH$191)</f>
        <v>115271025</v>
      </c>
      <c r="BI198" s="951">
        <f>SUMIF($E$4:$E$191,"111",$BI$4:$BI$191)</f>
        <v>0</v>
      </c>
      <c r="BJ198" s="951">
        <f>SUMIF($E$4:$E$191,"111",$BJ$4:$BJ$191)</f>
        <v>0</v>
      </c>
      <c r="BK198" s="951">
        <f>SUMIF($E$4:$E$193,"111",$BK$4:$BK$193)</f>
        <v>0</v>
      </c>
      <c r="BL198" s="951">
        <f>SUMIF($E$4:$E$191,"111",$BL$4:$BL$191)</f>
        <v>22661694</v>
      </c>
      <c r="BM198" s="951">
        <f>SUMIF($E$4:$E$193,"111",$AY$4:$AY$193)</f>
        <v>0</v>
      </c>
      <c r="BN198" s="951">
        <f>SUMIF($E$4:$E$191,"111",$BN$4:$BN$191)</f>
        <v>0</v>
      </c>
      <c r="BO198" s="951">
        <f>SUMIF($E$4:$E$191,"111",$BO$4:$BO$191)</f>
        <v>0</v>
      </c>
      <c r="BP198" s="951">
        <f>SUMIF($E$4:$E$193,"111",$BP$4:$BP$193)</f>
        <v>72115000</v>
      </c>
      <c r="BQ198" s="950">
        <f t="shared" ref="BQ198:BQ206" si="203">1-AU198</f>
        <v>0.32327084246609161</v>
      </c>
      <c r="BR198" s="149">
        <f t="shared" ref="BR198:BR203" si="204">SUM(BS198:CL198)</f>
        <v>2152207162</v>
      </c>
      <c r="BS198" s="951">
        <f>SUMIF($E$4:$E$193,"111",$AY$4:$AY$193)</f>
        <v>0</v>
      </c>
      <c r="BT198" s="953">
        <f>SUMIF($E$4:$E$191,"111",$BT$4:$BT$191)</f>
        <v>0</v>
      </c>
      <c r="BU198" s="953">
        <f>SUMIF($E$4:$E$191,"111",$BU$4:$BU$191)</f>
        <v>0</v>
      </c>
      <c r="BV198" s="953">
        <f>SUMIF($E$4:$E$193,"111",$BV$4:$BV$193)</f>
        <v>1865516790</v>
      </c>
      <c r="BW198" s="953">
        <f>SUMIF($E$4:$E$193,"111",$BW$4:$BW$193)</f>
        <v>2508044</v>
      </c>
      <c r="BX198" s="953">
        <f>SUMIF($E$4:$E$193,"111",$BX$4:$BX$193)</f>
        <v>5000000</v>
      </c>
      <c r="BY198" s="953">
        <f>SUMIF($E$4:$E$193,"111",$BY$4:$BY$193)</f>
        <v>0</v>
      </c>
      <c r="BZ198" s="953">
        <f>SUMIF($E$4:$E$191,"111",$BZ$4:$BZ$191)</f>
        <v>0</v>
      </c>
      <c r="CA198" s="953">
        <f>SUMIF($E$4:$E$194,"111",$CA$4:$CA$194)</f>
        <v>0</v>
      </c>
      <c r="CB198" s="953">
        <f>SUMIF($E$4:$E$191,"111",$CB$4:$CB$191)</f>
        <v>1940856</v>
      </c>
      <c r="CC198" s="953">
        <f>SUMIF($E$4:$E$191,"111",$CC$4:$CC$191)</f>
        <v>3438802</v>
      </c>
      <c r="CD198" s="953">
        <f>SUMIF($E$4:$E$191,"111",$CD$4:$CD$191)</f>
        <v>71109284</v>
      </c>
      <c r="CE198" s="953">
        <f>SUMIF($E$4:$E$191,"111",$CE$4:$CE$191)</f>
        <v>0</v>
      </c>
      <c r="CF198" s="953">
        <f>SUMIF($E$4:$E$191,"111",$CF$4:$CF$191)</f>
        <v>0</v>
      </c>
      <c r="CG198" s="953">
        <f>SUMIF($E$4:$E$191,"111",$CG$4:$CG$191)</f>
        <v>75649551</v>
      </c>
      <c r="CH198" s="953">
        <f>SUMIF($E$4:$E$191,"111",$CH$4:$CH$191)</f>
        <v>6043835</v>
      </c>
      <c r="CI198" s="953">
        <f>SUMIF($E$4:$E$191,"111",$CI$4:$CI$191)</f>
        <v>0</v>
      </c>
      <c r="CJ198" s="953">
        <f>SUMIF($E$4:$E$191,"111",$CJ$4:$CJ$191)</f>
        <v>0</v>
      </c>
      <c r="CK198" s="953">
        <f>SUMIF($E$4:$E$191,"111",$CK$4:$CK$191)</f>
        <v>0</v>
      </c>
      <c r="CL198" s="956">
        <f>SUMIF($E$4:$E$193,"111",$CL$4:$CL$193)</f>
        <v>121000000</v>
      </c>
      <c r="CM198" s="959">
        <f t="shared" ref="CM198:CM206" si="205">+CN198/Y198</f>
        <v>0.34267469069171486</v>
      </c>
      <c r="CN198" s="944">
        <f t="shared" ref="CN198:CN203" si="206">SUM(CO198:DH198)</f>
        <v>2281390174</v>
      </c>
      <c r="CO198" s="951">
        <f>SUMIF($E$4:$E$193,"111",$CO$4:$CO$193)</f>
        <v>0</v>
      </c>
      <c r="CP198" s="951">
        <f>SUMIF($E$4:$E$191,"111",$CP$4:$CP$191)</f>
        <v>0</v>
      </c>
      <c r="CQ198" s="951">
        <f>SUMIF($E$4:$E$191,"111",$CQ$4:$CQ$191)</f>
        <v>0</v>
      </c>
      <c r="CR198" s="951">
        <f>SUMIF($E$4:$E$191,"111",$CR$4:$CR$191)</f>
        <v>2190694555</v>
      </c>
      <c r="CS198" s="951">
        <f>SUMIF($E$4:$E$193,"111",$CS$4:$CS$193)</f>
        <v>12550540</v>
      </c>
      <c r="CT198" s="951">
        <f>SUMIF($E$4:$E$191,"111",$CT$4:$CT$191)</f>
        <v>0</v>
      </c>
      <c r="CU198" s="951">
        <f>SUMIF($E$4:$E$191,"111",$CU$4:$CU$191)</f>
        <v>0</v>
      </c>
      <c r="CV198" s="951">
        <f>SUMIF($E$4:$E$193,"111",$CV$4:$CV$193)</f>
        <v>0</v>
      </c>
      <c r="CW198" s="951">
        <f>SUMIF($E$4:$E$191,"111",$CW$4:$CW$191)</f>
        <v>0</v>
      </c>
      <c r="CX198" s="951">
        <f>SUMIF($E$4:$E$191,"111",$CX$4:$CX$191)</f>
        <v>0</v>
      </c>
      <c r="CY198" s="951">
        <f>SUMIF($E$4:$E$191,"111",$CY$4:$CY$191)</f>
        <v>0</v>
      </c>
      <c r="CZ198" s="951">
        <f>SUMIF($E$4:$E$191,"111",$CZ$4:$CZ$191)</f>
        <v>0</v>
      </c>
      <c r="DA198" s="951">
        <f>SUMIF($E$4:$E$191,"111",$DA$4:$DA$191)</f>
        <v>0</v>
      </c>
      <c r="DB198" s="951">
        <f>SUMIF($E$4:$E$191,"111",$DB$4:$DB$191)</f>
        <v>0</v>
      </c>
      <c r="DC198" s="951">
        <f>SUMIF($E$4:$E$191,"111",$DC$4:$DC$191)</f>
        <v>0</v>
      </c>
      <c r="DD198" s="951">
        <f>SUMIF($E$4:$E$191,"111",$DD$4:$DD$191)</f>
        <v>22661694</v>
      </c>
      <c r="DE198" s="951">
        <f>SUMIF($E$4:$E$191,"111",$DE$4:$DE$191)</f>
        <v>0</v>
      </c>
      <c r="DF198" s="951">
        <f>SUMIF($E$4:$E$191,"111",$DF$4:$DF$191)</f>
        <v>0</v>
      </c>
      <c r="DG198" s="951">
        <f>SUMIF($E$4:$E$191,"111",$DG$4:$DG$191)</f>
        <v>0</v>
      </c>
      <c r="DH198" s="952">
        <f>SUMIF($E$4:$E$191,"111",$DH$4:$DH$191)</f>
        <v>55483385</v>
      </c>
      <c r="DI198" s="1011">
        <f t="shared" ref="DI198:DI206" si="207">1-CM198</f>
        <v>0.65732530930828514</v>
      </c>
      <c r="DJ198" s="149">
        <f t="shared" ref="DJ198:DJ203" si="208">SUM(DK198:ED198)</f>
        <v>4376207355</v>
      </c>
      <c r="DK198" s="1040">
        <f>SUMIF($E$4:$E$193,"111",$DK$4:$DK$193)</f>
        <v>0</v>
      </c>
      <c r="DL198" s="953">
        <f>SUMIF($E$4:$E$193,"111",$DL$4:$DL$193)</f>
        <v>0</v>
      </c>
      <c r="DM198" s="953">
        <f>SUMIF($E$4:$E$193,"111",$DM$4:$DM$193)</f>
        <v>0</v>
      </c>
      <c r="DN198" s="953">
        <f>SUMIF($E$4:$E$193,"111",$DN$4:$DN$193)</f>
        <v>3952661593</v>
      </c>
      <c r="DO198" s="953">
        <f>SUMIF($E$4:$E$193,"111",$DO$4:$DO$193)</f>
        <v>7460794</v>
      </c>
      <c r="DP198" s="953">
        <f>SUMIF($E$4:$E$193,"111",$DP$4:$DP$193)</f>
        <v>5000000</v>
      </c>
      <c r="DQ198" s="953">
        <f>SUMIF($E$4:$E$193,"111",$DQ$4:$DQ$193)</f>
        <v>0</v>
      </c>
      <c r="DR198" s="953">
        <f>SUMIF($E$4:$E$193,"111",$DR$4:$DR$193)</f>
        <v>0</v>
      </c>
      <c r="DS198" s="208">
        <f>SUMIF($E$4:$E$191,"111",$DS$4:$DS$191)</f>
        <v>0</v>
      </c>
      <c r="DT198" s="208">
        <f>SUMIF($E$4:$E$191,"111",$DT$4:$DT$191)</f>
        <v>1940856</v>
      </c>
      <c r="DU198" s="208">
        <f>SUMIF($E$4:$E$193,"111",$DU$4:$DU$193)</f>
        <v>3438802</v>
      </c>
      <c r="DV198" s="208">
        <f>SUMIF($E$4:$E$191,"111",$DV$4:$DV$191)</f>
        <v>186380309</v>
      </c>
      <c r="DW198" s="208">
        <f>SUMIF($E$4:$E$191,"111",$DW$4:$DW$191)</f>
        <v>0</v>
      </c>
      <c r="DX198" s="208">
        <f>SUMIF($E$4:$E$193,"111",$DX$4:$DX$193)</f>
        <v>0</v>
      </c>
      <c r="DY198" s="208">
        <f>SUMIF($E$4:$E$193,"111",$DY$4:$DY$193)</f>
        <v>75649551</v>
      </c>
      <c r="DZ198" s="208">
        <f>SUMIF($E$4:$E$191,"111",$DZ$4:$DZ$191)</f>
        <v>6043835</v>
      </c>
      <c r="EA198" s="208">
        <f>SUMIF($E$4:$E$191,"111",$EA$4:$EA$191)</f>
        <v>0</v>
      </c>
      <c r="EB198" s="208">
        <f>SUMIF($E$4:$E$191,"111",$EB$4:$EB$191)</f>
        <v>0</v>
      </c>
      <c r="EC198" s="208">
        <f>SUMIF($E$4:$E$191,"111",$EC$4:$EC$191)</f>
        <v>0</v>
      </c>
      <c r="ED198" s="208">
        <f>SUMIF($E$4:$E$193,"111",$ED$4:$ED$193)</f>
        <v>137631615</v>
      </c>
      <c r="EF198" s="1621" t="s">
        <v>4982</v>
      </c>
      <c r="EH198" s="951">
        <v>2989241271</v>
      </c>
      <c r="EI198" s="951">
        <v>1966515918</v>
      </c>
      <c r="EJ198" s="1638">
        <v>0.65790000000000004</v>
      </c>
    </row>
    <row r="199" spans="1:140" ht="18" customHeight="1" x14ac:dyDescent="0.25">
      <c r="C199" s="987"/>
      <c r="D199" s="1121" t="s">
        <v>4589</v>
      </c>
      <c r="E199" s="239">
        <v>211</v>
      </c>
      <c r="F199" s="133"/>
      <c r="G199" s="875">
        <f>SUMIF($E$4:$E$193,"211",$G$4:$G$193)</f>
        <v>0</v>
      </c>
      <c r="H199" s="1060">
        <f>SUMIF($E$4:$E$193,"211",$H$4:$H$193)</f>
        <v>2334992155</v>
      </c>
      <c r="I199" s="1060">
        <f>SUMIF($E$4:$E$193,"211",$I$4:$I$193)</f>
        <v>1306279635</v>
      </c>
      <c r="J199" s="133"/>
      <c r="K199" s="133"/>
      <c r="L199" s="133"/>
      <c r="M199" s="133"/>
      <c r="N199" s="133"/>
      <c r="O199" s="133"/>
      <c r="P199" s="133"/>
      <c r="Q199" s="133"/>
      <c r="R199" s="133"/>
      <c r="S199" s="133"/>
      <c r="T199" s="133"/>
      <c r="U199" s="133"/>
      <c r="V199" s="133"/>
      <c r="W199" s="133"/>
      <c r="X199" s="133"/>
      <c r="Y199" s="951">
        <f>SUMIF($E$4:$E$193,"211",$Y$4:$Y$193)</f>
        <v>3641271790</v>
      </c>
      <c r="Z199" s="951">
        <f>SUMIF($E$4:$E$193,"211",$Z$4:$Z$193)</f>
        <v>0</v>
      </c>
      <c r="AA199" s="216">
        <f>SUMIF($E$4:$E$194,"211",$AA$4:$AA$194)</f>
        <v>0</v>
      </c>
      <c r="AB199" s="216">
        <f>SUMIF($E$4:$E$194,"211",$AB$4:$AB$194)</f>
        <v>0</v>
      </c>
      <c r="AC199" s="216">
        <f>SUMIF($E$4:$E$194,"211",$AC$4:$AC$194)</f>
        <v>2893065433</v>
      </c>
      <c r="AD199" s="951">
        <f>SUMIF($E$4:$E$193,"211",$AD$4:$AD$193)</f>
        <v>0</v>
      </c>
      <c r="AE199" s="133">
        <f>SUMIF($E$4:$E$191,"211",$AE$4:$AE$191)</f>
        <v>210000000</v>
      </c>
      <c r="AF199" s="133">
        <f>SUMIF($E$4:$E$191,"211",$AF$4:$AF$191)</f>
        <v>0</v>
      </c>
      <c r="AG199" s="133">
        <f>SUMIF($E$4:$E$191,"211",$AG$4:$AG$191)</f>
        <v>0</v>
      </c>
      <c r="AH199" s="133">
        <f>SUMIF($E$4:$E$191,"211",$AH$4:$AH$191)</f>
        <v>0</v>
      </c>
      <c r="AI199" s="133">
        <f>SUMIF($E$4:$E$191,"211",$AI$4:$AI$191)</f>
        <v>0</v>
      </c>
      <c r="AJ199" s="133">
        <f>SUMIF($E$4:$E$191,"211",$AJ$4:$AJ$191)</f>
        <v>0</v>
      </c>
      <c r="AK199" s="133">
        <f>SUMIF($E$4:$E$191,"211",$AK$4:$AK$191)</f>
        <v>132284205</v>
      </c>
      <c r="AL199" s="133">
        <f>SUMIF($E$4:$E$191,"211",$AL$4:$AL$191)</f>
        <v>0</v>
      </c>
      <c r="AM199" s="133">
        <f>SUMIF($E$4:$E$191,"211",$AM$4:$AM$191)</f>
        <v>0</v>
      </c>
      <c r="AN199" s="133">
        <f>SUMIF($E$4:$E$191,"211",$AN$4:$AN$191)</f>
        <v>39070000</v>
      </c>
      <c r="AO199" s="133">
        <f>SUMIF($E$4:$E$191,"211",$AO$4:$AO$191)</f>
        <v>25530452</v>
      </c>
      <c r="AP199" s="133">
        <f>SUMIF($E$4:$E$191,"211",$AP$4:$AP$191)</f>
        <v>0</v>
      </c>
      <c r="AQ199" s="133">
        <f>SUMIF($E$4:$E$191,"211",$AQ$4:$AQ$191)</f>
        <v>0</v>
      </c>
      <c r="AR199" s="133">
        <f>SUMIF($E$4:$E$191,"211",$AR$4:$AR$191)</f>
        <v>92524043</v>
      </c>
      <c r="AS199" s="133">
        <f>SUMIF($E$4:$E$193,"211",$AS$4:$AS$193)</f>
        <v>248797657</v>
      </c>
      <c r="AU199" s="946">
        <f t="shared" si="201"/>
        <v>0.8612713996282052</v>
      </c>
      <c r="AV199" s="218">
        <f t="shared" si="202"/>
        <v>3136123251</v>
      </c>
      <c r="AW199" s="951">
        <f>SUMIF($E$4:$E$191,"211",$AW$4:$AW$191)</f>
        <v>0</v>
      </c>
      <c r="AX199" s="951">
        <f>SUMIF($E$4:$E$193,"211",$AX$4:$AX$193)</f>
        <v>0</v>
      </c>
      <c r="AY199" s="951">
        <f>SUMIF($E$4:$E$193,"211",$AY$4:$AY$193)</f>
        <v>0</v>
      </c>
      <c r="AZ199" s="951">
        <f>SUMIF($E$4:$E$193,"211",$AZ$4:$AZ$193)</f>
        <v>2524193980</v>
      </c>
      <c r="BA199" s="951">
        <f>SUMIF($E$4:$E$191,"211",$BA$4:$BA$191)</f>
        <v>0</v>
      </c>
      <c r="BB199" s="951">
        <f>SUMIF($E$4:$E$191,"211",$BB$4:$BB$191)</f>
        <v>208875197</v>
      </c>
      <c r="BC199" s="951">
        <f>SUMIF($E$4:$E$193,"211",$BC$4:$BC$193)</f>
        <v>0</v>
      </c>
      <c r="BD199" s="951">
        <f>SUMIF($E$4:$E$193,"211",$BD$4:$BD$193)</f>
        <v>0</v>
      </c>
      <c r="BE199" s="951">
        <f>SUMIF($E$4:$E$191,"211",$BE$4:$BE$191)</f>
        <v>0</v>
      </c>
      <c r="BF199" s="951">
        <f>SUMIF($E$4:$E$191,"211",$BF$4:$BF$191)</f>
        <v>0</v>
      </c>
      <c r="BG199" s="951">
        <f>SUMIF($E$4:$E$191,"211",$BG$4:$BG$191)</f>
        <v>0</v>
      </c>
      <c r="BH199" s="951">
        <f>SUMIF($E$4:$E$191,"211",$BH$4:$BH$191)</f>
        <v>50855038</v>
      </c>
      <c r="BI199" s="951">
        <f>SUMIF($E$4:$E$191,"211",$BI$4:$BI$191)</f>
        <v>0</v>
      </c>
      <c r="BJ199" s="951">
        <f>SUMIF($E$4:$E$191,"211",$BJ$4:$BJ$191)</f>
        <v>0</v>
      </c>
      <c r="BK199" s="951">
        <f>SUMIF($E$4:$E$193,"211",$BK$4:$BK$193)</f>
        <v>33071786</v>
      </c>
      <c r="BL199" s="951">
        <f>SUMIF($E$4:$E$191,"211",$BL$4:$BL$191)</f>
        <v>25530452</v>
      </c>
      <c r="BM199" s="951">
        <f>SUMIF($E$4:$E$191,"211",$BM$4:$BM$191)</f>
        <v>0</v>
      </c>
      <c r="BN199" s="951">
        <f>SUMIF($E$4:$E$191,"211",$BN$4:$BN$191)</f>
        <v>0</v>
      </c>
      <c r="BO199" s="951">
        <f>SUMIF($E$4:$E$191,"211",$BO$4:$BO$191)</f>
        <v>92524043</v>
      </c>
      <c r="BP199" s="951">
        <f>SUMIF($E$4:$E$193,"211",$BP$4:$BP$193)</f>
        <v>201072755</v>
      </c>
      <c r="BQ199" s="950">
        <f t="shared" si="203"/>
        <v>0.1387286003717948</v>
      </c>
      <c r="BR199" s="149">
        <f t="shared" si="204"/>
        <v>505148539</v>
      </c>
      <c r="BS199" s="953">
        <f>SUMIF($E$4:$E$191,"211",$BS$4:$BS$191)</f>
        <v>0</v>
      </c>
      <c r="BT199" s="953">
        <f>SUMIF($E$4:$E$191,"211",$BT$4:$BT$191)</f>
        <v>0</v>
      </c>
      <c r="BU199" s="953">
        <f>SUMIF($E$4:$E$191,"211",$BU$4:$BU$191)</f>
        <v>0</v>
      </c>
      <c r="BV199" s="953">
        <f>SUMIF($E$4:$E$193,"211",$BV$4:$BV$193)</f>
        <v>368871453</v>
      </c>
      <c r="BW199" s="953">
        <f>SUMIF($E$4:$E$193,"211",$BW$4:$BW$193)</f>
        <v>0</v>
      </c>
      <c r="BX199" s="953">
        <f>SUMIF($E$4:$E$193,"211",$BX$4:$BX$193)</f>
        <v>1124803</v>
      </c>
      <c r="BY199" s="953">
        <f>SUMIF($E$4:$E$193,"211",$BY$4:$BY$193)</f>
        <v>0</v>
      </c>
      <c r="BZ199" s="953">
        <f>SUMIF($E$4:$E$191,"211",$BZ$4:$BZ$191)</f>
        <v>0</v>
      </c>
      <c r="CA199" s="953">
        <f>SUMIF($E$4:$E$191,"211",$CA$4:$CA$191)</f>
        <v>0</v>
      </c>
      <c r="CB199" s="953">
        <f>SUMIF($E$4:$E$191,"211",$CB$4:$CB$191)</f>
        <v>0</v>
      </c>
      <c r="CC199" s="953">
        <f>SUMIF($E$4:$E$191,"211",$CC$4:$CC$191)</f>
        <v>0</v>
      </c>
      <c r="CD199" s="953">
        <f>SUMIF($E$4:$E$191,"211",$CD$4:$CD$191)</f>
        <v>81429167</v>
      </c>
      <c r="CE199" s="953">
        <f>SUMIF($E$4:$E$191,"211",$CE$4:$CE$191)</f>
        <v>0</v>
      </c>
      <c r="CF199" s="953">
        <f>SUMIF($E$4:$E$191,"211",$CF$4:$CF$191)</f>
        <v>0</v>
      </c>
      <c r="CG199" s="953">
        <f>SUMIF($E$4:$E$191,"211",$CG$4:$CG$191)</f>
        <v>5998214</v>
      </c>
      <c r="CH199" s="953">
        <f>SUMIF($E$4:$E$191,"211",$CH$4:$CH$191)</f>
        <v>0</v>
      </c>
      <c r="CI199" s="953">
        <f>SUMIF($E$4:$E$191,"211",$CI$4:$CI$191)</f>
        <v>0</v>
      </c>
      <c r="CJ199" s="953">
        <f>SUMIF($E$4:$E$191,"211",$CJ$4:$CJ$191)</f>
        <v>0</v>
      </c>
      <c r="CK199" s="953">
        <f>SUMIF($E$4:$E$191,"211",$CK$4:$CK$191)</f>
        <v>0</v>
      </c>
      <c r="CL199" s="956">
        <f>SUMIF($E$4:$E$193,"211",$CL$4:$CL$193)</f>
        <v>47724902</v>
      </c>
      <c r="CM199" s="959">
        <f t="shared" si="205"/>
        <v>0.64125731053984303</v>
      </c>
      <c r="CN199" s="944">
        <f t="shared" si="206"/>
        <v>2334992155</v>
      </c>
      <c r="CO199" s="951">
        <f>SUMIF($E$4:$E$193,"211",$CO$4:$CO$193)</f>
        <v>0</v>
      </c>
      <c r="CP199" s="951">
        <f>SUMIF($E$4:$E$191,"211",$CP$4:$CP$191)</f>
        <v>0</v>
      </c>
      <c r="CQ199" s="951">
        <f>SUMIF($E$4:$E$191,"211",$CQ$4:$CQ$191)</f>
        <v>0</v>
      </c>
      <c r="CR199" s="951">
        <f>SUMIF($E$4:$E$191,"211",$CR$4:$CR$191)</f>
        <v>1915298702</v>
      </c>
      <c r="CS199" s="951">
        <f>SUMIF($E$4:$E$193,"211",$CS$4:$CS$193)</f>
        <v>0</v>
      </c>
      <c r="CT199" s="951">
        <f>SUMIF($E$4:$E$191,"211",$CT$4:$CT$191)</f>
        <v>208736238</v>
      </c>
      <c r="CU199" s="951">
        <f>SUMIF($E$4:$E$191,"211",$CU$4:$CU$191)</f>
        <v>0</v>
      </c>
      <c r="CV199" s="951">
        <f>SUMIF($E$4:$E$193,"211",$CV$4:$CV$193)</f>
        <v>0</v>
      </c>
      <c r="CW199" s="951">
        <f>SUMIF($E$4:$E$191,"211",$CW$4:$CW$191)</f>
        <v>0</v>
      </c>
      <c r="CX199" s="951">
        <f>SUMIF($E$4:$E$191,"211",$CX$4:$CX$191)</f>
        <v>0</v>
      </c>
      <c r="CY199" s="951">
        <f>SUMIF($E$4:$E$191,"211",$CY$4:$CY$191)</f>
        <v>0</v>
      </c>
      <c r="CZ199" s="951">
        <f>SUMIF($E$4:$E$191,"211",$CZ$4:$CZ$191)</f>
        <v>50855038</v>
      </c>
      <c r="DA199" s="951">
        <f>SUMIF($E$4:$E$191,"211",$DA$4:$DA$191)</f>
        <v>0</v>
      </c>
      <c r="DB199" s="951">
        <f>SUMIF($E$4:$E$191,"211",$DB$4:$DB$191)</f>
        <v>0</v>
      </c>
      <c r="DC199" s="951">
        <f>SUMIF($E$4:$E$191,"211",$DC$4:$DC$191)</f>
        <v>26680000</v>
      </c>
      <c r="DD199" s="951">
        <f>SUMIF($E$4:$E$191,"211",$DD$4:$DD$191)</f>
        <v>7976469</v>
      </c>
      <c r="DE199" s="951">
        <f>SUMIF($E$4:$E$191,"211",$DE$4:$DE$191)</f>
        <v>0</v>
      </c>
      <c r="DF199" s="951">
        <f>SUMIF($E$4:$E$191,"211",$DF$4:$DF$191)</f>
        <v>0</v>
      </c>
      <c r="DG199" s="951">
        <f>SUMIF($E$4:$E$191,"211",$DG$4:$DG$191)</f>
        <v>0</v>
      </c>
      <c r="DH199" s="952">
        <f>SUMIF($E$4:$E$191,"211",$DH$4:$DH$191)</f>
        <v>125445708</v>
      </c>
      <c r="DI199" s="1011">
        <f t="shared" si="207"/>
        <v>0.35874268946015697</v>
      </c>
      <c r="DJ199" s="149">
        <f t="shared" ca="1" si="208"/>
        <v>1306279635</v>
      </c>
      <c r="DK199" s="1040">
        <f>SUMIF($E$4:$E$193,"211",$DK$4:$DK$193)</f>
        <v>0</v>
      </c>
      <c r="DL199" s="953">
        <f ca="1">SUMIF($E$4:$E$194,"211",$DL$4:$DL$193)</f>
        <v>0</v>
      </c>
      <c r="DM199" s="953">
        <f>SUMIF($E$4:$E$193,"211",$DM$4:$DM$193)</f>
        <v>0</v>
      </c>
      <c r="DN199" s="953">
        <f>SUMIF($E$4:$E$193,"211",$DN$4:$DN$193)</f>
        <v>977766731</v>
      </c>
      <c r="DO199" s="953">
        <f>SUMIF($E$4:$E$193,"211",$DO$4:$DO$193)</f>
        <v>0</v>
      </c>
      <c r="DP199" s="953">
        <f>SUMIF($E$4:$E$193,"211",$DP$4:$DP$193)</f>
        <v>1263762</v>
      </c>
      <c r="DQ199" s="953">
        <f>SUMIF($E$4:$E$193,"211",$DQ$4:$DQ$193)</f>
        <v>0</v>
      </c>
      <c r="DR199" s="953">
        <f>SUMIF($E$4:$E$193,"211",$DR$4:$DR$193)</f>
        <v>0</v>
      </c>
      <c r="DS199" s="208">
        <f>SUMIF($E$4:$E$191,"211",$DS$4:$DS$191)</f>
        <v>0</v>
      </c>
      <c r="DT199" s="208">
        <f>SUMIF($E$4:$E$191,"211",$DT$4:$DT$191)</f>
        <v>0</v>
      </c>
      <c r="DU199" s="208">
        <f>SUMIF($E$4:$E$193,"211",$DU$4:$DU$193)</f>
        <v>0</v>
      </c>
      <c r="DV199" s="208">
        <f>SUMIF($E$4:$E$191,"211",$DV$4:$DV$191)</f>
        <v>81429167</v>
      </c>
      <c r="DW199" s="208">
        <f>SUMIF($E$4:$E$191,"211",$DW$4:$DW$191)</f>
        <v>0</v>
      </c>
      <c r="DX199" s="208">
        <f>SUMIF($E$4:$E$193,"211",$DX$4:$DX$193)</f>
        <v>0</v>
      </c>
      <c r="DY199" s="208">
        <f>SUMIF($E$4:$E$193,"211",$DY$4:$DY$193)</f>
        <v>12390000</v>
      </c>
      <c r="DZ199" s="208">
        <f>SUMIF($E$4:$E$191,"211",$DZ$4:$DZ$191)</f>
        <v>17553983</v>
      </c>
      <c r="EA199" s="208">
        <f>SUMIF($E$4:$E$191,"211",$EA$4:$EA$191)</f>
        <v>0</v>
      </c>
      <c r="EB199" s="208">
        <f>SUMIF($E$4:$E$191,"211",$EB$4:$EB$191)</f>
        <v>0</v>
      </c>
      <c r="EC199" s="208">
        <f>SUMIF($E$4:$E$191,"211",$EC$4:$EC$191)</f>
        <v>92524043</v>
      </c>
      <c r="ED199" s="208">
        <f>SUMIF($E$4:$E$193,"211",$ED$4:$ED$193)</f>
        <v>123351949</v>
      </c>
      <c r="EF199" s="1621" t="s">
        <v>4983</v>
      </c>
      <c r="EH199" s="951">
        <v>2555236800</v>
      </c>
      <c r="EI199" s="951">
        <v>2270218833</v>
      </c>
      <c r="EJ199" s="1638">
        <v>0.88849999999999996</v>
      </c>
    </row>
    <row r="200" spans="1:140" ht="16.5" customHeight="1" x14ac:dyDescent="0.25">
      <c r="C200" s="987"/>
      <c r="D200" s="1121" t="s">
        <v>674</v>
      </c>
      <c r="E200" s="239">
        <v>310</v>
      </c>
      <c r="F200" s="133"/>
      <c r="G200" s="875">
        <f>SUMIF($E$4:$E$193,"310",$G$4:$G$193)</f>
        <v>1203000000</v>
      </c>
      <c r="H200" s="1060">
        <f>SUMIF($E$4:$E$193,"310",$H$4:$H$193)</f>
        <v>867111433</v>
      </c>
      <c r="I200" s="1060">
        <f>SUMIF($E$4:$E$193,"310",$I$4:$I$193)</f>
        <v>309141751</v>
      </c>
      <c r="J200" s="133"/>
      <c r="K200" s="133"/>
      <c r="L200" s="133"/>
      <c r="M200" s="133"/>
      <c r="N200" s="133"/>
      <c r="O200" s="133"/>
      <c r="P200" s="133"/>
      <c r="Q200" s="133"/>
      <c r="R200" s="133"/>
      <c r="S200" s="133"/>
      <c r="T200" s="133"/>
      <c r="U200" s="133"/>
      <c r="V200" s="133"/>
      <c r="W200" s="133"/>
      <c r="X200" s="133"/>
      <c r="Y200" s="951">
        <f>SUMIF($E$4:$E$193,"310",$Y$4:$Y$194)</f>
        <v>1176253184</v>
      </c>
      <c r="Z200" s="951">
        <f>SUMIF($E$4:$E$193,"310",$Z$4:$Z$193)</f>
        <v>0</v>
      </c>
      <c r="AA200" s="216">
        <f>SUMIF($E$4:$E$191,"310",$AA$4:$AA$191)</f>
        <v>0</v>
      </c>
      <c r="AB200" s="216">
        <f>SUMIF($E$4:$E$194,"310",$AB$4:$AB$194)</f>
        <v>0</v>
      </c>
      <c r="AC200" s="216">
        <f>SUMIF($E$4:$E$191,"310",$AC$4:$AC$191)</f>
        <v>0</v>
      </c>
      <c r="AD200" s="951">
        <f>SUMIF($E$4:$E$193,"310",$AD$4:$AD$193)</f>
        <v>0</v>
      </c>
      <c r="AE200" s="133">
        <f>SUMIF($E$4:$E$191,"310",$AE$4:$AE$191)</f>
        <v>420000000</v>
      </c>
      <c r="AF200" s="133">
        <f>SUMIF($E$4:$E$191,"310",$AF$4:$AF$191)</f>
        <v>321985144</v>
      </c>
      <c r="AG200" s="133">
        <f>SUMIF($E$4:$E$191,"310",$AG$4:$AG$191)</f>
        <v>0</v>
      </c>
      <c r="AH200" s="133">
        <f>SUMIF($E$4:$E$191,"310",$AH$4:$AH$191)</f>
        <v>0</v>
      </c>
      <c r="AI200" s="133">
        <f>SUMIF($E$4:$E$191,"310",$AI$4:$AI$191)</f>
        <v>0</v>
      </c>
      <c r="AJ200" s="133">
        <f>SUMIF($E$4:$E$191,"310",$AJ$4:$AJ$191)</f>
        <v>0</v>
      </c>
      <c r="AK200" s="133">
        <f>SUMIF($E$4:$E$191,"310",$AK$4:$AK$191)</f>
        <v>0</v>
      </c>
      <c r="AL200" s="133">
        <f>SUMIF($E$4:$E$191,"310",$AL$4:$AL$191)</f>
        <v>0</v>
      </c>
      <c r="AM200" s="133">
        <f>SUMIF($E$4:$E$191,"310",$AM$4:$AM$191)</f>
        <v>0</v>
      </c>
      <c r="AN200" s="133">
        <f>SUMIF($E$4:$E$191,"310",$AN$4:$AN$191)</f>
        <v>36000000</v>
      </c>
      <c r="AO200" s="133">
        <f>SUMIF($E$4:$E$191,"310",$AO$4:$AO$191)</f>
        <v>273344421</v>
      </c>
      <c r="AP200" s="133">
        <f>SUMIF($E$4:$E$162,"310",$AP$4:$AP$162)</f>
        <v>0</v>
      </c>
      <c r="AQ200" s="133">
        <f>SUMIF($E$4:$E$191,"310",$AQ$4:$AQ$191)</f>
        <v>0</v>
      </c>
      <c r="AR200" s="133">
        <f>SUMIF($E$4:$E$191,"310",$AR$4:$AR$191)</f>
        <v>0</v>
      </c>
      <c r="AS200" s="133">
        <f>SUMIF($E$4:$E$193,"310",$AS$4:$AS$193)</f>
        <v>124923619</v>
      </c>
      <c r="AU200" s="946">
        <f t="shared" si="201"/>
        <v>0.83862056861390821</v>
      </c>
      <c r="AV200" s="943">
        <f t="shared" si="202"/>
        <v>986430114</v>
      </c>
      <c r="AW200" s="951">
        <f>SUMIF($E$4:$E$191,"310",$AW$4:$AW$191)</f>
        <v>0</v>
      </c>
      <c r="AX200" s="951">
        <f>SUMIF($E$4:$E$193,"310",$AX$4:$AX$193)</f>
        <v>0</v>
      </c>
      <c r="AY200" s="951">
        <f>SUMIF($E$4:$E$193,"310",$AY$4:$AY$193)</f>
        <v>0</v>
      </c>
      <c r="AZ200" s="951">
        <f>SUMIF($E$4:$E$193,"310",$AZ$4:$AZ$193)</f>
        <v>0</v>
      </c>
      <c r="BA200" s="951">
        <f>SUMIF($E$4:$E$191,"310",$BA$4:$BA$191)</f>
        <v>0</v>
      </c>
      <c r="BB200" s="951">
        <f>SUMIF($E$4:$E$191,"310",$BB$4:$BB$191)</f>
        <v>339006302</v>
      </c>
      <c r="BC200" s="951">
        <f>SUMIF($E$4:$E$193,"310",$BC$4:$BC$193)</f>
        <v>264170675</v>
      </c>
      <c r="BD200" s="951">
        <f>SUMIF($E$4:$E$193,"310",$BD$4:$BD$193)</f>
        <v>0</v>
      </c>
      <c r="BE200" s="951">
        <f>SUMIF($E$4:$E$191,"310",$BE$4:$BE$191)</f>
        <v>0</v>
      </c>
      <c r="BF200" s="951">
        <f>SUMIF($E$4:$E$191,"310",$BF$4:$BF$191)</f>
        <v>0</v>
      </c>
      <c r="BG200" s="951">
        <f>SUMIF($E$4:$E$162,"310",$BG$4:$BG$162)</f>
        <v>0</v>
      </c>
      <c r="BH200" s="951">
        <f>SUMIF($E$4:$E$191,"310",$BH$4:$BH$191)</f>
        <v>0</v>
      </c>
      <c r="BI200" s="951">
        <f>SUMIF($E$4:$E$191,"310",$BI$4:$BI$191)</f>
        <v>0</v>
      </c>
      <c r="BJ200" s="951">
        <f>SUMIF($E$4:$E$191,"310",$BJ$4:$BJ$191)</f>
        <v>0</v>
      </c>
      <c r="BK200" s="951">
        <f>SUMIF($E$4:$E$193,"310",$BK$4:$BK$193)</f>
        <v>0</v>
      </c>
      <c r="BL200" s="951">
        <f>SUMIF($E$4:$E$191,"310",$BL$4:$BL$191)</f>
        <v>273344421</v>
      </c>
      <c r="BM200" s="951">
        <f>SUMIF($E$4:$E$191,"310",$BM$4:$BM$191)</f>
        <v>0</v>
      </c>
      <c r="BN200" s="951">
        <f>SUMIF($E$4:$E$191,"310",$BN$4:$BN$191)</f>
        <v>0</v>
      </c>
      <c r="BO200" s="951">
        <f>SUMIF($E$4:$E$191,"310",$BO$4:$BO$191)</f>
        <v>0</v>
      </c>
      <c r="BP200" s="951">
        <f>SUMIF($E$4:$E$193,"310",$BP$4:$BP$193)</f>
        <v>109908716</v>
      </c>
      <c r="BQ200" s="950">
        <f t="shared" si="203"/>
        <v>0.16137943138609179</v>
      </c>
      <c r="BR200" s="149">
        <f t="shared" si="204"/>
        <v>189823070</v>
      </c>
      <c r="BS200" s="953">
        <f>SUMIF($E$4:$E$191,"310",$BS$4:$BS$191)</f>
        <v>0</v>
      </c>
      <c r="BT200" s="953">
        <f>SUMIF($E$4:$E$191,"310",$BT$4:$BT$191)</f>
        <v>0</v>
      </c>
      <c r="BU200" s="953">
        <f>SUMIF($E$4:$E$191,"310",$BU$4:$BU$191)</f>
        <v>0</v>
      </c>
      <c r="BV200" s="953">
        <f>SUMIF($E$4:$E$193,"310",$BV$4:$BV$193)</f>
        <v>0</v>
      </c>
      <c r="BW200" s="953">
        <f>SUMIF($E$4:$E$193,"310",$BW$4:$BW$193)</f>
        <v>0</v>
      </c>
      <c r="BX200" s="953">
        <f>SUMIF($E$4:$E$193,"310",$BX$4:$BX$193)</f>
        <v>80993698</v>
      </c>
      <c r="BY200" s="953">
        <f>SUMIF($E$4:$E$193,"310",$BY$4:$BY$193)</f>
        <v>57814469</v>
      </c>
      <c r="BZ200" s="953">
        <f>SUMIF($E$4:$E$191,"310",$BZ$4:$BZ$191)</f>
        <v>0</v>
      </c>
      <c r="CA200" s="953">
        <f>SUMIF($E$4:$E$191,"310",$CA$4:$CA$191)</f>
        <v>0</v>
      </c>
      <c r="CB200" s="953">
        <f>SUMIF($E$4:$E$191,"310",$CB$4:$CB$191)</f>
        <v>0</v>
      </c>
      <c r="CC200" s="953">
        <f>SUMIF($E$4:$E$191,"310",$CC$4:$CC$191)</f>
        <v>0</v>
      </c>
      <c r="CD200" s="953">
        <f>SUMIF($E$4:$E$191,"310",$CD$4:$CD$191)</f>
        <v>0</v>
      </c>
      <c r="CE200" s="953">
        <f>SUMIF($E$4:$E$191,"310",$CE$4:$CE$191)</f>
        <v>0</v>
      </c>
      <c r="CF200" s="953">
        <f>SUMIF($E$4:$E$191,"310",$CF$4:$CF$191)</f>
        <v>0</v>
      </c>
      <c r="CG200" s="953">
        <f>SUMIF($E$4:$E$191,"310",$CG$4:$CG$191)</f>
        <v>36000000</v>
      </c>
      <c r="CH200" s="953">
        <f>SUMIF($E$4:$E$191,"310",$CH$4:$CH$191)</f>
        <v>0</v>
      </c>
      <c r="CI200" s="953">
        <f>SUMIF($E$4:$E$191,"310",$CI$4:$CI$191)</f>
        <v>0</v>
      </c>
      <c r="CJ200" s="953">
        <f>SUMIF($E$4:$E$191,"310",$CJ$4:$CJ$191)</f>
        <v>0</v>
      </c>
      <c r="CK200" s="953">
        <f>SUMIF($E$4:$E$191,"310",$CK$4:$CK$191)</f>
        <v>0</v>
      </c>
      <c r="CL200" s="956">
        <f>SUMIF($E$4:$E$193,"310",$CL$4:$CL$193)</f>
        <v>15014903</v>
      </c>
      <c r="CM200" s="959">
        <f t="shared" si="205"/>
        <v>0.73718094437056159</v>
      </c>
      <c r="CN200" s="944">
        <f t="shared" si="206"/>
        <v>867111433</v>
      </c>
      <c r="CO200" s="951">
        <f>SUMIF($E$4:$E$193,"310",$CO$4:$CO$193)</f>
        <v>0</v>
      </c>
      <c r="CP200" s="951">
        <f>SUMIF($E$4:$E$191,"310",$CP$4:$CP$191)</f>
        <v>0</v>
      </c>
      <c r="CQ200" s="951">
        <f>SUMIF($E$4:$E$191,"310",$CQ$4:$CQ$191)</f>
        <v>0</v>
      </c>
      <c r="CR200" s="951">
        <f>SUMIF($E$4:$E$191,"310",$CR$4:$CR$191)</f>
        <v>0</v>
      </c>
      <c r="CS200" s="951">
        <f>SUMIF($E$4:$E$193,"310",$CS$4:$CS$193)</f>
        <v>0</v>
      </c>
      <c r="CT200" s="951">
        <f>SUMIF($E$4:$E$193,"310",$CT$4:$CT$193)</f>
        <v>336684052</v>
      </c>
      <c r="CU200" s="951">
        <f>SUMIF($E$4:$E$193,"310",$CU$4:$CU$193)</f>
        <v>256875776</v>
      </c>
      <c r="CV200" s="951">
        <f>SUMIF($E$4:$E$193,"310",$CV$4:$CV$193)</f>
        <v>0</v>
      </c>
      <c r="CW200" s="951">
        <f>SUMIF($E$4:$E$191,"310",$CW$4:$CW$191)</f>
        <v>0</v>
      </c>
      <c r="CX200" s="951">
        <f>SUMIF($E$4:$E$191,"310",$CX$4:$CX$191)</f>
        <v>0</v>
      </c>
      <c r="CY200" s="951">
        <f>SUMIF($E$4:$E$191,"310",$CY$4:$CY$191)</f>
        <v>0</v>
      </c>
      <c r="CZ200" s="951">
        <f>SUMIF($E$4:$E$191,"310",$CZ$4:$CZ$191)</f>
        <v>0</v>
      </c>
      <c r="DA200" s="951">
        <f>SUMIF($E$4:$E$191,"310",$DA$4:$DA$191)</f>
        <v>0</v>
      </c>
      <c r="DB200" s="951">
        <f>SUMIF($E$4:$E$191,"310",$DB$4:$DB$191)</f>
        <v>0</v>
      </c>
      <c r="DC200" s="951">
        <f>SUMIF($E$4:$E$191,"310",$DC$4:$DC$191)</f>
        <v>0</v>
      </c>
      <c r="DD200" s="951">
        <f>SUMIF($E$4:$E$193,"310",$DD$4:$DD$193)</f>
        <v>194853743</v>
      </c>
      <c r="DE200" s="951">
        <f>SUMIF($E$4:$E$191,"310",$DE$4:$DE$191)</f>
        <v>0</v>
      </c>
      <c r="DF200" s="951">
        <f>SUMIF($E$4:$E$191,"310",$DF$4:$DF$191)</f>
        <v>0</v>
      </c>
      <c r="DG200" s="951">
        <f>SUMIF($E$4:$E$191,"310",$DG$4:$DG$191)</f>
        <v>0</v>
      </c>
      <c r="DH200" s="952">
        <f>SUMIF($E$4:$E$193,"310",$DH$4:$DH$193)</f>
        <v>78697862</v>
      </c>
      <c r="DI200" s="1011">
        <f t="shared" si="207"/>
        <v>0.26281905562943841</v>
      </c>
      <c r="DJ200" s="149">
        <f t="shared" si="208"/>
        <v>309141751</v>
      </c>
      <c r="DK200" s="1040">
        <f>SUMIF($E$4:$E$193,"310",$DK$4:$DK$193)</f>
        <v>0</v>
      </c>
      <c r="DL200" s="953">
        <f>SUMIF($E$4:$E$191,"310",$DL$4:$DL$191)</f>
        <v>0</v>
      </c>
      <c r="DM200" s="953">
        <f>SUMIF($E$4:$E$193,"310",$DM$4:$DM$193)</f>
        <v>0</v>
      </c>
      <c r="DN200" s="953">
        <f>SUMIF($E$4:$E$193,"310",$DN$4:$DN$193)</f>
        <v>0</v>
      </c>
      <c r="DO200" s="953">
        <f>SUMIF($E$4:$E$193,"310",$DO$4:$DO$193)</f>
        <v>0</v>
      </c>
      <c r="DP200" s="953">
        <f>SUMIF($E$4:$E$193,"310",$DP$4:$DP$193)</f>
        <v>83315948</v>
      </c>
      <c r="DQ200" s="953">
        <f>SUMIF($E$4:$E$193,"310",$DQ$4:$DQ$193)</f>
        <v>65109368</v>
      </c>
      <c r="DR200" s="953">
        <f>SUMIF($E$4:$E$193,"310",$DR$4:$DR$193)</f>
        <v>0</v>
      </c>
      <c r="DS200" s="208">
        <f>SUMIF($E$4:$E$191,"310",$DS$4:$DS$191)</f>
        <v>0</v>
      </c>
      <c r="DT200" s="208">
        <f>SUMIF($E$4:$E$191,"310",$DT$4:$DT$191)</f>
        <v>0</v>
      </c>
      <c r="DU200" s="208">
        <f>SUMIF($E$4:$E$193,"310",$DU$4:$DU$193)</f>
        <v>0</v>
      </c>
      <c r="DV200" s="208">
        <f>SUMIF($E$4:$E$191,"310",$DV$4:$DV$191)</f>
        <v>0</v>
      </c>
      <c r="DW200" s="208">
        <f>SUMIF($E$4:$E$191,"310",$DW$4:$DW$191)</f>
        <v>0</v>
      </c>
      <c r="DX200" s="208">
        <f>SUMIF($E$4:$E$193,"310",$DX$4:$DX$193)</f>
        <v>0</v>
      </c>
      <c r="DY200" s="208">
        <f>SUMIF($E$4:$E$193,"310",$DY$4:$DY$193)</f>
        <v>36000000</v>
      </c>
      <c r="DZ200" s="208">
        <f>SUMIF($E$4:$E$193,"310",$DZ$4:$DZ$193)</f>
        <v>78490678</v>
      </c>
      <c r="EA200" s="208">
        <f>SUMIF($E$4:$E$191,"310",$EA$4:$EA$191)</f>
        <v>0</v>
      </c>
      <c r="EB200" s="208">
        <f>SUMIF($E$4:$E$191,"310",$EB$4:$EB$191)</f>
        <v>0</v>
      </c>
      <c r="EC200" s="208">
        <f>SUMIF($E$4:$E$191,"310",$EC$4:$EC$191)</f>
        <v>0</v>
      </c>
      <c r="ED200" s="208">
        <f>SUMIF($E$4:$E$193,"310",$ED$4:$ED$193)</f>
        <v>46225757</v>
      </c>
      <c r="EF200" s="1621" t="s">
        <v>4984</v>
      </c>
      <c r="EH200" s="951">
        <v>11131713740</v>
      </c>
      <c r="EI200" s="951">
        <v>5216574148</v>
      </c>
      <c r="EJ200" s="1638">
        <v>0.46860000000000002</v>
      </c>
    </row>
    <row r="201" spans="1:140" x14ac:dyDescent="0.25">
      <c r="C201" s="988"/>
      <c r="D201" s="1121" t="s">
        <v>443</v>
      </c>
      <c r="E201" s="239">
        <v>410</v>
      </c>
      <c r="F201" s="133"/>
      <c r="G201" s="875">
        <f>SUMIF($E$4:$E$193,"410",$G$4:$G$193)</f>
        <v>4593000000</v>
      </c>
      <c r="H201" s="1060">
        <f>SUMIF($E$4:$E$193,"410",$H$4:$H$193)</f>
        <v>3906305329</v>
      </c>
      <c r="I201" s="1060">
        <f>SUMIF($E$4:$E$193,"410",$I$4:$I$193)</f>
        <v>2629487400</v>
      </c>
      <c r="J201" s="133"/>
      <c r="K201" s="133"/>
      <c r="L201" s="133"/>
      <c r="M201" s="133"/>
      <c r="N201" s="133"/>
      <c r="O201" s="133"/>
      <c r="P201" s="133"/>
      <c r="Q201" s="133"/>
      <c r="R201" s="133"/>
      <c r="S201" s="133"/>
      <c r="T201" s="133"/>
      <c r="U201" s="133"/>
      <c r="V201" s="133"/>
      <c r="W201" s="133"/>
      <c r="X201" s="133"/>
      <c r="Y201" s="951">
        <f>SUMIF($E$4:$E$193,"410",$Y$4:$Y$193)</f>
        <v>6535792729</v>
      </c>
      <c r="Z201" s="951">
        <f>SUMIF($E$4:$E$193,"410",$Z$4:$Z$193)</f>
        <v>0</v>
      </c>
      <c r="AA201" s="216">
        <f>SUMIF($E$4:$E$191,"410",$AA$4:$AA$191)</f>
        <v>134533656</v>
      </c>
      <c r="AB201" s="216">
        <f>SUMIF($E$4:$E$194,"410",$AB$4:$AB$194)</f>
        <v>396726534</v>
      </c>
      <c r="AC201" s="216">
        <f>SUMIF($E$4:$E$194,"410",$AC$4:$AC$194)</f>
        <v>775722031</v>
      </c>
      <c r="AD201" s="951">
        <f>SUMIF($E$4:$E$193,"410",$AD$4:$AD$193)</f>
        <v>0</v>
      </c>
      <c r="AE201" s="133">
        <f>SUMIF($E$4:$E$191,"410",$AE$4:$AE$191)</f>
        <v>544180877</v>
      </c>
      <c r="AF201" s="133">
        <f>SUMIF($E$4:$E$191,"410",$AF$4:$AF$191)</f>
        <v>55000000</v>
      </c>
      <c r="AG201" s="133">
        <f>SUMIF($E$4:$E$191,"410",$AG$4:$AG$191)</f>
        <v>102810569</v>
      </c>
      <c r="AH201" s="133">
        <f>SUMIF($E$4:$E$191,"410",$AH$4:$AH$191)</f>
        <v>219471348</v>
      </c>
      <c r="AI201" s="133">
        <f>SUMIF($E$4:$E$191,"410",$AI$4:$AI$191)</f>
        <v>0</v>
      </c>
      <c r="AJ201" s="133">
        <f>SUMIF($E$4:$E$191,"410",$AJ$4:$AJ$191)</f>
        <v>0</v>
      </c>
      <c r="AK201" s="133">
        <f>SUMIF($E$4:$E$191,"410",$AK$4:$AK$191)</f>
        <v>0</v>
      </c>
      <c r="AL201" s="133">
        <f>SUMIF($E$4:$E$191,"410",$AL$4:$AL$191)</f>
        <v>3504013680</v>
      </c>
      <c r="AM201" s="133">
        <f>SUMIF($E$4:$E$191,"410",$AM$4:$AM$191)</f>
        <v>78609139</v>
      </c>
      <c r="AN201" s="133">
        <f>SUMIF($E$4:$E$191,"410",$AN$4:$AN$191)</f>
        <v>251718083</v>
      </c>
      <c r="AO201" s="133">
        <f>SUMIF($E$4:$E$162,"410",$AO$4:$AO$162)</f>
        <v>311973650</v>
      </c>
      <c r="AP201" s="133">
        <f>SUMIF($E$4:$E$162,"410",$AP$4:$AP$162)</f>
        <v>0</v>
      </c>
      <c r="AQ201" s="133">
        <f>SUMIF($E$4:$E$191,"410",$AQ$4:$AQ$191)</f>
        <v>80844085</v>
      </c>
      <c r="AR201" s="133">
        <f>SUMIF($E$4:$E$191,"410",$AR$4:$AR$191)</f>
        <v>0</v>
      </c>
      <c r="AS201" s="133">
        <f>SUMIF($E$4:$E$193,"410",$AS$4:$AS$193)</f>
        <v>80189077</v>
      </c>
      <c r="AU201" s="946">
        <f t="shared" si="201"/>
        <v>0.81595654989749911</v>
      </c>
      <c r="AV201" s="218">
        <f t="shared" si="202"/>
        <v>5332922886</v>
      </c>
      <c r="AW201" s="951">
        <f>SUMIF($E$4:$E$191,"410",$AW$4:$AW$191)</f>
        <v>0</v>
      </c>
      <c r="AX201" s="951">
        <f>SUMIF($E$4:$E$193,"410",$AX$4:$AX$193)</f>
        <v>127311678</v>
      </c>
      <c r="AY201" s="951">
        <f>SUMIF($E$4:$E$193,"410",$AY$4:$AY$193)</f>
        <v>364926534</v>
      </c>
      <c r="AZ201" s="951">
        <f>SUMIF($E$4:$E$193,"410",$AZ$4:$AZ$193)</f>
        <v>775722031</v>
      </c>
      <c r="BA201" s="951">
        <f>SUMIF($E$4:$E$191,"410",$BA$4:$BA$191)</f>
        <v>0</v>
      </c>
      <c r="BB201" s="951">
        <f>SUMIF($E$4:$E$191,"410",$BB$4:$BB$191)</f>
        <v>488016550</v>
      </c>
      <c r="BC201" s="951">
        <f>SUMIF($E$4:$E$193,"410",$BC$4:$BC$193)</f>
        <v>55000000</v>
      </c>
      <c r="BD201" s="951">
        <f>SUMIF($E$4:$E$193,"410",$BD$4:$BD$193)</f>
        <v>102810569</v>
      </c>
      <c r="BE201" s="951">
        <f>SUMIF($E$4:$E$191,"410",$BE$4:$BE$191)</f>
        <v>219471348</v>
      </c>
      <c r="BF201" s="951">
        <f>SUMIF($E$4:$E$191,"410",$BF$4:$BF$191)</f>
        <v>0</v>
      </c>
      <c r="BG201" s="951">
        <f>SUMIF($E$4:$E$162,"410",$BG$4:$BG$162)</f>
        <v>0</v>
      </c>
      <c r="BH201" s="951">
        <f>SUMIF($E$4:$E$191,"410",$BH$4:$BH$191)</f>
        <v>0</v>
      </c>
      <c r="BI201" s="951">
        <f>SUMIF($E$4:$E$191,"410",$BI$4:$BI$191)</f>
        <v>2411831294</v>
      </c>
      <c r="BJ201" s="951">
        <f>SUMIF($E$4:$E$191,"410",$BJ$4:$BJ$191)</f>
        <v>78609139</v>
      </c>
      <c r="BK201" s="951">
        <f>SUMIF($E$4:$E$193,"410",$BK$4:$BK$193)</f>
        <v>251718083</v>
      </c>
      <c r="BL201" s="951">
        <f>SUMIF($E$4:$E$191,"410",$BL$4:$BL$191)</f>
        <v>311973590</v>
      </c>
      <c r="BM201" s="951">
        <f>SUMIF($E$4:$E$191,"410",$BM$4:$BM$191)</f>
        <v>0</v>
      </c>
      <c r="BN201" s="951">
        <f>SUMIF($E$4:$E$191,"410",$BN$4:$BN$191)</f>
        <v>80844085</v>
      </c>
      <c r="BO201" s="951">
        <f>SUMIF($E$4:$E$191,"410",$BO$4:$BO$191)</f>
        <v>0</v>
      </c>
      <c r="BP201" s="951">
        <f>SUMIF($E$4:$E$193,"410",$BP$4:$BP$193)</f>
        <v>64687985</v>
      </c>
      <c r="BQ201" s="950">
        <f t="shared" si="203"/>
        <v>0.18404345010250089</v>
      </c>
      <c r="BR201" s="149">
        <f t="shared" si="204"/>
        <v>1202869843</v>
      </c>
      <c r="BS201" s="953">
        <f>SUMIF($E$4:$E$191,"410",$BS$4:$BS$191)</f>
        <v>0</v>
      </c>
      <c r="BT201" s="953">
        <f>SUMIF($E$4:$E$191,"410",$BT$4:$BT$191)</f>
        <v>7221978</v>
      </c>
      <c r="BU201" s="953">
        <f>SUMIF($E$4:$E$191,"410",$BU$4:$BU$191)</f>
        <v>31800000</v>
      </c>
      <c r="BV201" s="953">
        <f>SUMIF($E$4:$E$193,"410",$BV$4:$BV$193)</f>
        <v>0</v>
      </c>
      <c r="BW201" s="953">
        <f>SUMIF($E$4:$E$193,"410",$BW$4:$BW$193)</f>
        <v>0</v>
      </c>
      <c r="BX201" s="953">
        <f>SUMIF($E$4:$E$193,"410",$BX$4:$BX$193)</f>
        <v>56164327</v>
      </c>
      <c r="BY201" s="953">
        <f>SUMIF($E$4:$E$191,"410",$BY$4:$BY$191)</f>
        <v>0</v>
      </c>
      <c r="BZ201" s="953">
        <f>SUMIF($E$4:$E$191,"410",$BZ$4:$BZ$191)</f>
        <v>0</v>
      </c>
      <c r="CA201" s="953">
        <f>SUMIF($E$4:$E$191,"410",$CA$4:$CA$191)</f>
        <v>0</v>
      </c>
      <c r="CB201" s="953">
        <f>SUMIF($E$4:$E$191,"410",$CB$4:$CB$191)</f>
        <v>0</v>
      </c>
      <c r="CC201" s="953">
        <f>SUMIF($E$4:$E$191,"410",$CC$4:$CC$191)</f>
        <v>0</v>
      </c>
      <c r="CD201" s="953">
        <f>SUMIF($E$4:$E$191,"410",$CD$4:$CD$191)</f>
        <v>0</v>
      </c>
      <c r="CE201" s="953">
        <f>SUMIF($E$4:$E$191,"410",$CE$4:$CE$191)</f>
        <v>1092182386</v>
      </c>
      <c r="CF201" s="953">
        <f>SUMIF($E$4:$E$191,"410",$CF$4:$CF$191)</f>
        <v>0</v>
      </c>
      <c r="CG201" s="953">
        <f>SUMIF($E$4:$E$191,"410",$CG$4:$CG$191)</f>
        <v>0</v>
      </c>
      <c r="CH201" s="953">
        <f>SUMIF($E$4:$E$191,"410",$CH$4:$CH$191)</f>
        <v>60</v>
      </c>
      <c r="CI201" s="953">
        <f>SUMIF($E$4:$E$191,"510",$CI$4:$CI$191)</f>
        <v>0</v>
      </c>
      <c r="CJ201" s="953">
        <f>SUMIF($E$4:$E$191,"410",$CJ$4:$CJ$191)</f>
        <v>0</v>
      </c>
      <c r="CK201" s="953">
        <f>SUMIF($E$4:$E$191,"410",$CK$4:$CK$191)</f>
        <v>0</v>
      </c>
      <c r="CL201" s="956">
        <f>SUMIF($E$4:$E$193,"410",$CL$4:$CL$193)</f>
        <v>15501092</v>
      </c>
      <c r="CM201" s="959">
        <f t="shared" si="205"/>
        <v>0.59767888777551226</v>
      </c>
      <c r="CN201" s="149">
        <f t="shared" si="206"/>
        <v>3906305329</v>
      </c>
      <c r="CO201" s="951">
        <f>SUMIF($E$4:$E$193,"410",$CO$4:$CO$193)</f>
        <v>0</v>
      </c>
      <c r="CP201" s="951">
        <f>SUMIF($E$4:$E$191,"410",$CP$4:$CP$191)</f>
        <v>127311678</v>
      </c>
      <c r="CQ201" s="951">
        <f>SUMIF($E$4:$E$191,"410",$CQ$4:$CQ$191)</f>
        <v>364926534</v>
      </c>
      <c r="CR201" s="951">
        <f>SUMIF($E$4:$E$191,"410",$CR$4:$CR$191)</f>
        <v>561469881</v>
      </c>
      <c r="CS201" s="951">
        <f>SUMIF($E$4:$E$193,"410",$CS$4:$CS$193)</f>
        <v>0</v>
      </c>
      <c r="CT201" s="951">
        <f>SUMIF($E$4:$E$191,"410",$CT$4:$CT$191)</f>
        <v>461643323</v>
      </c>
      <c r="CU201" s="951">
        <f>SUMIF($E$4:$E$191,"410",$CU$4:$CU$191)</f>
        <v>55000000</v>
      </c>
      <c r="CV201" s="951">
        <f>SUMIF($E$4:$E$193,"410",$CV$4:$CV$193)</f>
        <v>102810569</v>
      </c>
      <c r="CW201" s="951">
        <f>SUMIF($E$4:$E$191,"410",$CW$4:$CW$191)</f>
        <v>129471348</v>
      </c>
      <c r="CX201" s="951">
        <f>SUMIF($E$4:$E$191,"410",$CX$4:$CX$191)</f>
        <v>0</v>
      </c>
      <c r="CY201" s="951">
        <f>SUMIF($E$4:$E$191,"410",$CY$4:$CY$191)</f>
        <v>0</v>
      </c>
      <c r="CZ201" s="951">
        <f>SUMIF($E$4:$E$191,"410",$CZ$4:$CZ$191)</f>
        <v>0</v>
      </c>
      <c r="DA201" s="951">
        <f>SUMIF($E$4:$E$191,"410",$DA$4:$DA$191)</f>
        <v>1537936337</v>
      </c>
      <c r="DB201" s="951">
        <f>SUMIF($E$4:$E$191,"410",$DB$4:$DB$191)</f>
        <v>74817818</v>
      </c>
      <c r="DC201" s="951">
        <f>SUMIF($E$4:$E$191,"410",$DC$4:$DC$191)</f>
        <v>226625653</v>
      </c>
      <c r="DD201" s="951">
        <f>SUMIF($E$4:$E$191,"410",$DD$4:$DD$191)</f>
        <v>189662203</v>
      </c>
      <c r="DE201" s="951">
        <f>SUMIF($E$4:$E$191,"410",$DE$4:$DE$191)</f>
        <v>0</v>
      </c>
      <c r="DF201" s="951">
        <f>SUMIF($E$4:$E$191,"410",$DF$4:$DF$191)</f>
        <v>32548551</v>
      </c>
      <c r="DG201" s="951">
        <f>SUMIF($E$4:$E$191,"410",$DG$4:$DG$191)</f>
        <v>0</v>
      </c>
      <c r="DH201" s="952">
        <f>SUMIF($E$4:$E$191,"410",$DH$4:$DH$191)</f>
        <v>42081434</v>
      </c>
      <c r="DI201" s="1011">
        <f t="shared" si="207"/>
        <v>0.40232111222448774</v>
      </c>
      <c r="DJ201" s="149">
        <f t="shared" si="208"/>
        <v>2629487400</v>
      </c>
      <c r="DK201" s="1040">
        <f>SUMIF($E$4:$E$193,"410",$DK$4:$DK$193)</f>
        <v>0</v>
      </c>
      <c r="DL201" s="953">
        <f>SUMIF($E$4:$E$191,"410",$DL$4:$DL$191)</f>
        <v>7221978</v>
      </c>
      <c r="DM201" s="953">
        <f>SUMIF($E$4:$E$193,"410",$DM$4:$DM$193)</f>
        <v>31800000</v>
      </c>
      <c r="DN201" s="953">
        <f>SUMIF($E$4:$E$193,"410",$DN$4:$DN$193)</f>
        <v>214252150</v>
      </c>
      <c r="DO201" s="953">
        <f>SUMIF($E$4:$E$193,"410",$DO$4:$DO$193)</f>
        <v>0</v>
      </c>
      <c r="DP201" s="953">
        <f>SUMIF($E$4:$E$193,"410",$DP$4:$DP$193)</f>
        <v>82537554</v>
      </c>
      <c r="DQ201" s="953">
        <f>SUMIF($E$4:$E$193,"410",$DQ$4:$DQ$193)</f>
        <v>0</v>
      </c>
      <c r="DR201" s="953">
        <f>SUMIF($E$4:$E$193,"410",$DR$4:$DR$193)</f>
        <v>0</v>
      </c>
      <c r="DS201" s="208">
        <f>SUMIF($E$4:$E$191,"410",$DS$4:$DS$191)</f>
        <v>90000000</v>
      </c>
      <c r="DT201" s="208">
        <f>SUMIF($E$4:$E$191,"410",$DT$4:$DT$191)</f>
        <v>0</v>
      </c>
      <c r="DU201" s="208">
        <f>SUMIF($E$4:$E$193,"410",$DU$4:$DU$193)</f>
        <v>0</v>
      </c>
      <c r="DV201" s="208">
        <f>SUMIF($E$4:$E$191,"410",$DV$4:$DV$191)</f>
        <v>0</v>
      </c>
      <c r="DW201" s="208">
        <f>SUMIF($E$4:$E$191,"410",$DW$4:$DW$191)</f>
        <v>1966077343</v>
      </c>
      <c r="DX201" s="208">
        <f>SUMIF($E$4:$E$193,"410",$DX$4:$DX$193)</f>
        <v>3791321</v>
      </c>
      <c r="DY201" s="208">
        <f>SUMIF($E$4:$E$193,"410",$DY$4:$DY$193)</f>
        <v>25092430</v>
      </c>
      <c r="DZ201" s="208">
        <f>SUMIF($E$4:$E$191,"410",$DZ$4:$DZ$191)</f>
        <v>122311447</v>
      </c>
      <c r="EA201" s="208">
        <f>SUMIF($E$4:$E$191,"410",$EA$4:$EA$191)</f>
        <v>0</v>
      </c>
      <c r="EB201" s="208">
        <f>SUMIF($E$4:$E$191,"410",$EB$4:$EB$191)</f>
        <v>48295534</v>
      </c>
      <c r="EC201" s="208">
        <f>SUMIF($E$4:$E$191,"410",$EC$4:$EC$191)</f>
        <v>0</v>
      </c>
      <c r="ED201" s="208">
        <f>SUMIF($E$4:$E$193,"410",$ED$4:$ED$193)</f>
        <v>38107643</v>
      </c>
      <c r="EF201" s="998"/>
      <c r="EH201" s="998"/>
      <c r="EI201" s="1620"/>
      <c r="EJ201" s="1620"/>
    </row>
    <row r="202" spans="1:140" ht="14.25" customHeight="1" x14ac:dyDescent="0.25">
      <c r="C202" s="988"/>
      <c r="D202" s="1121" t="s">
        <v>3755</v>
      </c>
      <c r="E202" s="239">
        <v>510</v>
      </c>
      <c r="F202" s="133"/>
      <c r="G202" s="875">
        <f>SUMIF($E$4:$E$193,"510",$G$4:$G$193)</f>
        <v>1300000000</v>
      </c>
      <c r="H202" s="1060">
        <f>SUMIF($E$4:$E$193,"510",$H$4:$H$193)</f>
        <v>855648137</v>
      </c>
      <c r="I202" s="1060">
        <f>SUMIF($E$4:$E$193,"510",$I$4:$I$193)</f>
        <v>678051863</v>
      </c>
      <c r="J202" s="133"/>
      <c r="K202" s="133"/>
      <c r="L202" s="133"/>
      <c r="M202" s="133"/>
      <c r="N202" s="133"/>
      <c r="O202" s="133"/>
      <c r="P202" s="133"/>
      <c r="Q202" s="133"/>
      <c r="R202" s="133"/>
      <c r="S202" s="133"/>
      <c r="T202" s="133"/>
      <c r="U202" s="133"/>
      <c r="V202" s="133"/>
      <c r="W202" s="133"/>
      <c r="X202" s="133"/>
      <c r="Y202" s="951">
        <f>SUMIF($E$4:$E$193,"510",$Y$4:$Y$193)</f>
        <v>1533700000</v>
      </c>
      <c r="Z202" s="951">
        <f>SUMIF($E$4:$E$193,"510",$Z$4:$Z$193)</f>
        <v>0</v>
      </c>
      <c r="AA202" s="216">
        <f>SUMIF($E$4:$E$191,"510",$AA$4:$AA$191)</f>
        <v>0</v>
      </c>
      <c r="AB202" s="216">
        <f>SUMIF($E$4:$E$194,"510",$AB$4:$AB$194)</f>
        <v>0</v>
      </c>
      <c r="AC202" s="216">
        <f>SUMIF($E$4:$E$194,"510",$AC$4:$AC$194)</f>
        <v>0</v>
      </c>
      <c r="AD202" s="951">
        <f>SUMIF($E$4:$E$193,"510",$AD$4:$AD$193)</f>
        <v>0</v>
      </c>
      <c r="AE202" s="133">
        <f>SUMIF($E$4:$E$191,"510",$AE$4:$AE$191)</f>
        <v>670000000</v>
      </c>
      <c r="AF202" s="133">
        <f>SUMIF($E$4:$E$191,"510",$AF$4:$AF$191)</f>
        <v>0</v>
      </c>
      <c r="AG202" s="133">
        <f>SUMIF($E$4:$E$191,"510",$AG$4:$AG$191)</f>
        <v>0</v>
      </c>
      <c r="AH202" s="133">
        <f>SUMIF($E$4:$E$191,"510",$AH$4:$AH$191)</f>
        <v>0</v>
      </c>
      <c r="AI202" s="133">
        <f>SUMIF($E$4:$E$191,"510",$AI$4:$AI$191)</f>
        <v>0</v>
      </c>
      <c r="AJ202" s="133">
        <f>SUMIF($E$4:$E$191,"510",$AJ$4:$AJ$191)</f>
        <v>0</v>
      </c>
      <c r="AK202" s="133">
        <f>SUMIF($E$4:$E$191,"510",$AK$4:$AK$191)</f>
        <v>0</v>
      </c>
      <c r="AL202" s="133">
        <f>SUMIF($E$4:$E$191,"510",$AL$4:$AL$191)</f>
        <v>0</v>
      </c>
      <c r="AM202" s="133">
        <f>SUMIF($E$4:$E$191,"510",$AM$4:$AM$191)</f>
        <v>270000000</v>
      </c>
      <c r="AN202" s="133">
        <f>SUMIF($E$4:$E$191,"510",$AN$4:$AN$191)</f>
        <v>250000000</v>
      </c>
      <c r="AO202" s="133">
        <f>SUMIF($E$4:$E$191,"510",$AO$4:$AO$191)</f>
        <v>239500000</v>
      </c>
      <c r="AP202" s="133">
        <f>SUMIF($E$4:$E$162,"510",$AP$4:$AP$162)</f>
        <v>0</v>
      </c>
      <c r="AQ202" s="133">
        <f>SUMIF($E$4:$E$191,"510",$AQ$4:$AQ$191)</f>
        <v>0</v>
      </c>
      <c r="AR202" s="133">
        <f>SUMIF($E$4:$E$191,"510",$AR$4:$AR$191)</f>
        <v>0</v>
      </c>
      <c r="AS202" s="133">
        <f>SUMIF($E$4:$E$193,"510",$AS$4:$AS$193)</f>
        <v>104200000</v>
      </c>
      <c r="AU202" s="946">
        <f t="shared" si="201"/>
        <v>0.70487440307752491</v>
      </c>
      <c r="AV202" s="218">
        <f t="shared" si="202"/>
        <v>1081065872</v>
      </c>
      <c r="AW202" s="951">
        <f>SUMIF($E$4:$E$191,"510",$AW$4:$AW$191)</f>
        <v>0</v>
      </c>
      <c r="AX202" s="951">
        <f>SUMIF($E$4:$E$193,"510",$AX$4:$AX$193)</f>
        <v>0</v>
      </c>
      <c r="AY202" s="951">
        <f>SUMIF($E$4:$E$193,"510",$AY$4:$AY$193)</f>
        <v>0</v>
      </c>
      <c r="AZ202" s="951">
        <f>SUMIF($E$4:$E$193,"510",$AZ$4:$AZ$193)</f>
        <v>0</v>
      </c>
      <c r="BA202" s="951">
        <f>SUMIF($E$4:$E$191,"510",$BA$4:$BA$191)</f>
        <v>0</v>
      </c>
      <c r="BB202" s="951">
        <f>SUMIF($E$4:$E$191,"510",$BB$4:$BB$191)</f>
        <v>482682873</v>
      </c>
      <c r="BC202" s="951">
        <f>SUMIF($E$4:$E$193,"510",$BC$4:$BC$193)</f>
        <v>0</v>
      </c>
      <c r="BD202" s="951">
        <f>SUMIF($E$4:$E$193,"510",$BD$4:$BD$193)</f>
        <v>0</v>
      </c>
      <c r="BE202" s="951">
        <f>SUMIF($E$4:$E$191,"510",$BE$4:$BE$191)</f>
        <v>0</v>
      </c>
      <c r="BF202" s="951">
        <f>SUMIF($E$4:$E$191,"510",$BF$4:$BF$191)</f>
        <v>0</v>
      </c>
      <c r="BG202" s="951">
        <f>SUMIF($E$4:$E$162,"510",$BG$4:$BG$162)</f>
        <v>0</v>
      </c>
      <c r="BH202" s="951">
        <f>SUMIF($E$4:$E$191,"510",$BH$4:$BH$191)</f>
        <v>0</v>
      </c>
      <c r="BI202" s="951">
        <f>SUMIF($E$4:$E$191,"510",$BI$4:$BI$191)</f>
        <v>0</v>
      </c>
      <c r="BJ202" s="951">
        <f>SUMIF($E$4:$E$191,"510",$BJ$4:$BJ$191)</f>
        <v>152146280</v>
      </c>
      <c r="BK202" s="951">
        <f>SUMIF($E$4:$E$193,"510",$BK$4:$BK$193)</f>
        <v>137412943</v>
      </c>
      <c r="BL202" s="951">
        <f>SUMIF($E$4:$E$191,"510",$BL$4:$BL$191)</f>
        <v>230527669</v>
      </c>
      <c r="BM202" s="951">
        <f>SUMIF($E$4:$E$191,"510",$BM$4:$BM$191)</f>
        <v>0</v>
      </c>
      <c r="BN202" s="951">
        <f>SUMIF($E$4:$E$191,"510",$BN$4:$BN$191)</f>
        <v>0</v>
      </c>
      <c r="BO202" s="951">
        <f>SUMIF($E$4:$E$191," 510",$BO$4:$BO$191)</f>
        <v>0</v>
      </c>
      <c r="BP202" s="951">
        <f>SUMIF($E$4:$E$193,"510",$BP$4:$BP$193)</f>
        <v>78296107</v>
      </c>
      <c r="BQ202" s="950">
        <f t="shared" si="203"/>
        <v>0.29512559692247509</v>
      </c>
      <c r="BR202" s="149">
        <f t="shared" si="204"/>
        <v>452634128</v>
      </c>
      <c r="BS202" s="953">
        <f>SUMIF($E$4:$E$191,"510",$BS$4:$BS$191)</f>
        <v>0</v>
      </c>
      <c r="BT202" s="953">
        <f>SUMIF($E$4:$E$191,"510",$BT$4:$BT$191)</f>
        <v>0</v>
      </c>
      <c r="BU202" s="953">
        <f>SUMIF($E$4:$E$191,"510",$BU$4:$BU$191)</f>
        <v>0</v>
      </c>
      <c r="BV202" s="953">
        <f>SUMIF($E$4:$E$193,"510",$BV$4:$BV$193)</f>
        <v>0</v>
      </c>
      <c r="BW202" s="953">
        <f>SUMIF($E$4:$E$193,"510",$BW$4:$BW$193)</f>
        <v>0</v>
      </c>
      <c r="BX202" s="953">
        <f>SUMIF($E$4:$E$193,"510",$BX$4:$BX$193)</f>
        <v>187317127</v>
      </c>
      <c r="BY202" s="953">
        <f>SUMIF($E$4:$E$191,"510",$BY$4:$BY$191)</f>
        <v>0</v>
      </c>
      <c r="BZ202" s="953">
        <f>SUMIF($E$4:$E$191,"510",$BZ$4:$BZ$191)</f>
        <v>0</v>
      </c>
      <c r="CA202" s="953">
        <f>SUMIF($E$4:$E$191,"510",$CA$4:$CA$191)</f>
        <v>0</v>
      </c>
      <c r="CB202" s="953">
        <f>SUMIF($E$4:$E$191,"510",$CB$4:$CB$191)</f>
        <v>0</v>
      </c>
      <c r="CC202" s="953">
        <f>SUMIF($E$4:$E$191,"510",$CC$4:$CC$191)</f>
        <v>0</v>
      </c>
      <c r="CD202" s="953">
        <f>SUMIF($E$4:$E$191,"510",$CD$4:$CD$191)</f>
        <v>0</v>
      </c>
      <c r="CE202" s="953">
        <f>SUMIF($E$4:$E$191,"510",$CE$4:$CE$191)</f>
        <v>0</v>
      </c>
      <c r="CF202" s="953">
        <f>SUMIF($E$4:$E$191,"510",$CF$4:$CF$191)</f>
        <v>117853720</v>
      </c>
      <c r="CG202" s="953">
        <f>SUMIF($E$4:$E$191,"510",$CG$4:$CG$191)</f>
        <v>112587057</v>
      </c>
      <c r="CH202" s="953">
        <f>SUMIF($E$4:$E$191,"510",$CH$4:$CH$191)</f>
        <v>8972331</v>
      </c>
      <c r="CI202" s="953">
        <f>SUMIF($E$4:$E$191,"520",$CI$4:$CI$191)</f>
        <v>0</v>
      </c>
      <c r="CJ202" s="953">
        <f>SUMIF($E$4:$E$191,"510",$CJ$4:$CJ$191)</f>
        <v>0</v>
      </c>
      <c r="CK202" s="953">
        <f>SUMIF($E$4:$E$191,"510",$CK$4:$CK$191)</f>
        <v>0</v>
      </c>
      <c r="CL202" s="956">
        <f>SUMIF($E$4:$E$193,"510",$CL$4:$CL$193)</f>
        <v>25903893</v>
      </c>
      <c r="CM202" s="959">
        <f t="shared" si="205"/>
        <v>0.55789798330833928</v>
      </c>
      <c r="CN202" s="149">
        <f t="shared" si="206"/>
        <v>855648137</v>
      </c>
      <c r="CO202" s="951">
        <f>SUMIF($E$4:$E$193,"510",$CO$4:$CO$193)</f>
        <v>0</v>
      </c>
      <c r="CP202" s="951">
        <f>SUMIF($E$4:$E$191,"510",$CP$4:$CP$191)</f>
        <v>0</v>
      </c>
      <c r="CQ202" s="951">
        <f>SUMIF($E$4:$E$191,"510",$CQ$4:$CQ$191)</f>
        <v>0</v>
      </c>
      <c r="CR202" s="951">
        <f>SUMIF($E$4:$E$191,"510",$CR$4:$CR$191)</f>
        <v>0</v>
      </c>
      <c r="CS202" s="951">
        <f>SUMIF($E$4:$E$193,"510",$CS$4:$CS$193)</f>
        <v>0</v>
      </c>
      <c r="CT202" s="951">
        <f>SUMIF($E$4:$E$191,"510",$CT$4:$CT$191)</f>
        <v>430571673</v>
      </c>
      <c r="CU202" s="951">
        <f>SUMIF($E$4:$E$191,"510",$CU$4:$CU$191)</f>
        <v>0</v>
      </c>
      <c r="CV202" s="951">
        <f>SUMIF($E$4:$E$193,"510",$CV$4:$CV$193)</f>
        <v>0</v>
      </c>
      <c r="CW202" s="951">
        <f>SUMIF($E$4:$E$191,"510",$CW$4:$CW$191)</f>
        <v>0</v>
      </c>
      <c r="CX202" s="951">
        <f>SUMIF($E$4:$E$191,"510",$CX$4:$CX$191)</f>
        <v>0</v>
      </c>
      <c r="CY202" s="951">
        <f>SUMIF($E$4:$E$191,"510",$CY$4:$CY$191)</f>
        <v>0</v>
      </c>
      <c r="CZ202" s="951">
        <f>SUMIF($E$4:$E$191,"510",$CZ$4:$CZ$191)</f>
        <v>0</v>
      </c>
      <c r="DA202" s="951">
        <f>SUMIF($E$4:$E$191,"510",$DA$4:$DA$191)</f>
        <v>0</v>
      </c>
      <c r="DB202" s="951">
        <f>SUMIF($E$4:$E$191,"510",$DB$4:$DB$191)</f>
        <v>88455538</v>
      </c>
      <c r="DC202" s="951">
        <f>SUMIF($E$4:$E$191,"510",$DC$4:$DC$191)</f>
        <v>90822814</v>
      </c>
      <c r="DD202" s="951">
        <f>SUMIF($E$4:$E$191,"510",$DD$4:$DD$191)</f>
        <v>188408444</v>
      </c>
      <c r="DE202" s="951">
        <f>SUMIF($E$4:$E$191,"510",$DE$4:$DE$191)</f>
        <v>0</v>
      </c>
      <c r="DF202" s="951">
        <f>SUMIF($E$4:$E$191,"510",$DF$4:$DF$191)</f>
        <v>0</v>
      </c>
      <c r="DG202" s="951">
        <f>SUMIF($E$4:$E$191,"510",$DG$4:$DG$191)</f>
        <v>0</v>
      </c>
      <c r="DH202" s="952">
        <f>SUMIF($E$4:$E$191,"510",$DH$4:$DH$191)</f>
        <v>57389668</v>
      </c>
      <c r="DI202" s="1011">
        <f t="shared" si="207"/>
        <v>0.44210201669166072</v>
      </c>
      <c r="DJ202" s="149">
        <f t="shared" si="208"/>
        <v>678051863</v>
      </c>
      <c r="DK202" s="1040">
        <f>SUMIF($E$4:$E$193,"510",$DK$4:$DK$193)</f>
        <v>0</v>
      </c>
      <c r="DL202" s="953">
        <f>SUMIF($E$4:$E$191,"510",$DL$4:$DL$191)</f>
        <v>0</v>
      </c>
      <c r="DM202" s="953">
        <f>SUMIF($E$4:$E$193,"510",$DM$4:$DM$193)</f>
        <v>0</v>
      </c>
      <c r="DN202" s="953">
        <f>SUMIF($E$4:$E$193,"510",$DN$4:$DN$193)</f>
        <v>0</v>
      </c>
      <c r="DO202" s="953">
        <f>SUMIF($E$4:$E$193,"510",$DO$4:$DO$193)</f>
        <v>0</v>
      </c>
      <c r="DP202" s="953">
        <f>SUMIF($E$4:$E$193,"510",$DP$4:$DP$193)</f>
        <v>239428327</v>
      </c>
      <c r="DQ202" s="953">
        <f>SUMIF($E$4:$E$193,"510",$DQ$4:$DQ$193)</f>
        <v>0</v>
      </c>
      <c r="DR202" s="953">
        <f>SUMIF($E$4:$E$193,"510",$DR$4:$DR$193)</f>
        <v>0</v>
      </c>
      <c r="DS202" s="208">
        <f>SUMIF($E$4:$E$191,"510",$DS$4:$DS$191)</f>
        <v>0</v>
      </c>
      <c r="DT202" s="208">
        <f>SUMIF($E$4:$E$191,"510",$DT$4:$DT$191)</f>
        <v>0</v>
      </c>
      <c r="DU202" s="208">
        <f>SUMIF($E$4:$E$193,"510",$DU$4:$DU$193)</f>
        <v>0</v>
      </c>
      <c r="DV202" s="208">
        <f>SUMIF($E$4:$E$191,"510",$DV$4:$DV$191)</f>
        <v>0</v>
      </c>
      <c r="DW202" s="208">
        <f>SUMIF($E$4:$E$191,"510",$DW$4:$DW$191)</f>
        <v>0</v>
      </c>
      <c r="DX202" s="208">
        <f>SUMIF($E$4:$E$193,"510",$DX$4:$DX$193)</f>
        <v>181544462</v>
      </c>
      <c r="DY202" s="208">
        <f>SUMIF($E$4:$E$193,"510",$DY$4:$DY$193)</f>
        <v>159177186</v>
      </c>
      <c r="DZ202" s="208">
        <f>SUMIF($E$4:$E$191,"510",$DZ$4:$DZ$191)</f>
        <v>51091556</v>
      </c>
      <c r="EA202" s="208">
        <f>SUMIF($E$4:$E$191,"510",$EA$4:$EA$191)</f>
        <v>0</v>
      </c>
      <c r="EB202" s="208">
        <f>SUMIF($E$4:$E$191,"510",$EB$4:$EB$191)</f>
        <v>0</v>
      </c>
      <c r="EC202" s="208">
        <f>SUMIF($E$4:$E$191,"510",$EC$4:$EC$191)</f>
        <v>0</v>
      </c>
      <c r="ED202" s="208">
        <f>SUMIF($E$4:$E$193,"510",$ED$4:$ED$193)</f>
        <v>46810332</v>
      </c>
      <c r="EF202" s="998"/>
      <c r="EH202" s="998"/>
      <c r="EI202" s="1620"/>
      <c r="EJ202" s="1620"/>
    </row>
    <row r="203" spans="1:140" x14ac:dyDescent="0.25">
      <c r="C203" s="988"/>
      <c r="D203" s="1121" t="s">
        <v>1517</v>
      </c>
      <c r="E203" s="239">
        <v>520</v>
      </c>
      <c r="F203" s="133"/>
      <c r="G203" s="875">
        <f>SUMIF($E$4:$E$193,"520",$G$4:$G$193)</f>
        <v>2832000000</v>
      </c>
      <c r="H203" s="1060">
        <f>SUMIF($E$4:$E$193,"520",$H$4:$H$193)</f>
        <v>1966515918</v>
      </c>
      <c r="I203" s="1060">
        <f>SUMIF($E$4:$E$193,"520",$I$4:$I$193)</f>
        <v>1022725353</v>
      </c>
      <c r="J203" s="133"/>
      <c r="K203" s="133"/>
      <c r="L203" s="133"/>
      <c r="M203" s="133"/>
      <c r="N203" s="133"/>
      <c r="O203" s="133"/>
      <c r="P203" s="133"/>
      <c r="Q203" s="133"/>
      <c r="R203" s="133"/>
      <c r="S203" s="133"/>
      <c r="T203" s="133"/>
      <c r="U203" s="133"/>
      <c r="V203" s="133"/>
      <c r="W203" s="133"/>
      <c r="X203" s="133"/>
      <c r="Y203" s="951">
        <f>SUMIF($E$4:$E$193,"520",$Y$4:$Y$193)</f>
        <v>2989241271</v>
      </c>
      <c r="Z203" s="951">
        <f>SUMIF($E$4:$E$193,"520",$Z$4:$Z$193)</f>
        <v>0</v>
      </c>
      <c r="AA203" s="216">
        <f>SUMIF($E$4:$E$191,"520",$AA$4:$AA$191)</f>
        <v>0</v>
      </c>
      <c r="AB203" s="216">
        <f>SUMIF($E$4:$E$194,"520",$AB$4:$AB$194)</f>
        <v>0</v>
      </c>
      <c r="AC203" s="216">
        <f>SUMIF($E$4:$E$193,"520",$AC$4:$AC$193)</f>
        <v>50000000</v>
      </c>
      <c r="AD203" s="951">
        <f>SUMIF($E$4:$E$193,"520",$AD$4:$AD$193)</f>
        <v>72884540</v>
      </c>
      <c r="AE203" s="133">
        <f>SUMIF($E$4:$E$191,"520",$AE$4:$AE$191)</f>
        <v>660000000</v>
      </c>
      <c r="AF203" s="133">
        <f>SUMIF($E$4:$E$191,"520",$AF$4:$AF$191)</f>
        <v>923014856</v>
      </c>
      <c r="AG203" s="133">
        <f>SUMIF($E$4:$E$191,"520",$AG$4:$AG$191)</f>
        <v>0</v>
      </c>
      <c r="AH203" s="133">
        <f>SUMIF($E$4:$E$191,"520",$AH$4:$AH$191)</f>
        <v>0</v>
      </c>
      <c r="AI203" s="133">
        <f>SUMIF($E$4:$E$191,"520",$AI$4:$AI$191)</f>
        <v>0</v>
      </c>
      <c r="AJ203" s="133">
        <f>SUMIF($E$4:$E$191,"520",$AJ$4:$AJ$191)</f>
        <v>0</v>
      </c>
      <c r="AK203" s="133">
        <f>SUMIF($E$4:$E$191,"520",$AK$4:$AK$191)</f>
        <v>0</v>
      </c>
      <c r="AL203" s="133">
        <f>SUMIF($E$4:$E$191,"520",$AL$4:$AL$191)</f>
        <v>610864435</v>
      </c>
      <c r="AM203" s="133">
        <f>SUMIF($E$4:$E$191,"520",$AM$4:$AM$191)</f>
        <v>0</v>
      </c>
      <c r="AN203" s="133">
        <f>SUMIF($E$4:$E$191,"520",$AN$4:$AN$191)</f>
        <v>75000000</v>
      </c>
      <c r="AO203" s="133">
        <f>SUMIF($E$4:$E$191,"520",$AO$4:$AO$191)</f>
        <v>0</v>
      </c>
      <c r="AP203" s="133">
        <f>SUMIF($E$4:$E$162,"520",$AP$4:$AP$162)</f>
        <v>0</v>
      </c>
      <c r="AQ203" s="133">
        <f>SUMIF($E$4:$E$191,"520",$AQ$4:$AQ$191)</f>
        <v>0</v>
      </c>
      <c r="AR203" s="133">
        <f>SUMIF($E$4:$E$191,"520",$AR$4:$AR$191)</f>
        <v>0</v>
      </c>
      <c r="AS203" s="133">
        <f>SUMIF($E$4:$E$193,"520",$AS$4:$AS$193)</f>
        <v>597477440</v>
      </c>
      <c r="AU203" s="946">
        <f t="shared" si="201"/>
        <v>0.82265790415015316</v>
      </c>
      <c r="AV203" s="218">
        <f t="shared" si="202"/>
        <v>2459122959</v>
      </c>
      <c r="AW203" s="951">
        <f>SUMIF($E$4:$E$191,"520",$AW$4:$AW$191)</f>
        <v>0</v>
      </c>
      <c r="AX203" s="951">
        <f>SUMIF($E$4:$E$193,"520",$AX$4:$AX$193)</f>
        <v>0</v>
      </c>
      <c r="AY203" s="951">
        <f>SUMIF($E$4:$E$193,"520",$AY$4:$AY$193)</f>
        <v>0</v>
      </c>
      <c r="AZ203" s="951">
        <f>SUMIF($E$4:$E$193,"520",$AZ$4:$AZ$193)</f>
        <v>40000000</v>
      </c>
      <c r="BA203" s="951">
        <f>SUMIF($E$4:$E$191,"520",$BA$4:$BA$191)</f>
        <v>72884540</v>
      </c>
      <c r="BB203" s="951">
        <f>SUMIF($E$4:$E$191,"520",$BB$4:$BB$191)</f>
        <v>636973277</v>
      </c>
      <c r="BC203" s="951">
        <f>SUMIF($E$4:$E$193,"520",$BC$4:$BC$193)</f>
        <v>845000000</v>
      </c>
      <c r="BD203" s="951">
        <f>SUMIF($E$4:$E$193,"520",$BD$4:$BD$193)</f>
        <v>0</v>
      </c>
      <c r="BE203" s="951">
        <f>SUMIF($E$4:$E$191,"520",$BE$4:$BE$191)</f>
        <v>0</v>
      </c>
      <c r="BF203" s="951">
        <f>SUMIF($E$4:$E$191,"520",$BF$4:$BF$191)</f>
        <v>0</v>
      </c>
      <c r="BG203" s="951">
        <f>SUMIF($E$4:$E$162,"520",$BG$4:$BG$162)</f>
        <v>0</v>
      </c>
      <c r="BH203" s="951">
        <f>SUMIF($E$4:$E$191,"520",$BH$4:$BH$191)</f>
        <v>0</v>
      </c>
      <c r="BI203" s="951">
        <f>SUMIF($E$4:$E$191,"520",$BI$4:$BI$191)</f>
        <v>244660776</v>
      </c>
      <c r="BJ203" s="951">
        <f>SUMIF($E$4:$E$191,"520",$BJ$4:$BJ$191)</f>
        <v>0</v>
      </c>
      <c r="BK203" s="951">
        <f>SUMIF($E$4:$E$193,"520",$BK$4:$BK$193)</f>
        <v>66597464</v>
      </c>
      <c r="BL203" s="951">
        <f>SUMIF($E$4:$E$191,"520",$BL$4:$BL$191)</f>
        <v>0</v>
      </c>
      <c r="BM203" s="951">
        <f>SUMIF($E$4:$E$191,"520",$BM$4:$BM$191)</f>
        <v>0</v>
      </c>
      <c r="BN203" s="951">
        <f>SUMIF($E$4:$E$191,"520",$BN$4:$BN$191)</f>
        <v>0</v>
      </c>
      <c r="BO203" s="951">
        <f>SUMIF($E$4:$E$191,"520",$BO$4:$BO$191)</f>
        <v>0</v>
      </c>
      <c r="BP203" s="951">
        <f>SUMIF($E$4:$E$193,"520",$BP$4:$BP$193)</f>
        <v>553006902</v>
      </c>
      <c r="BQ203" s="950">
        <f t="shared" si="203"/>
        <v>0.17734209584984684</v>
      </c>
      <c r="BR203" s="149">
        <f t="shared" si="204"/>
        <v>530118312</v>
      </c>
      <c r="BS203" s="953">
        <f>SUMIF($E$4:$E$191,"520",$BS$4:$BS$191)</f>
        <v>0</v>
      </c>
      <c r="BT203" s="953">
        <f>SUMIF($E$4:$E$191,"520",$BT$4:$BT$191)</f>
        <v>0</v>
      </c>
      <c r="BU203" s="953">
        <f>SUMIF($E$4:$E$191,"520",$BU$4:$BU$191)</f>
        <v>0</v>
      </c>
      <c r="BV203" s="953">
        <f>SUMIF($E$4:$E$193,"520",$BV$4:$BV$193)</f>
        <v>10000000</v>
      </c>
      <c r="BW203" s="953">
        <f>SUMIF($E$4:$E$193,"520",$BW$4:$BW$193)</f>
        <v>0</v>
      </c>
      <c r="BX203" s="953">
        <f>SUMIF($E$4:$E$193,"520",$BX$4:$BX$193)</f>
        <v>23026723</v>
      </c>
      <c r="BY203" s="953">
        <f>SUMIF($E$4:$E$191,"520",$BY$4:$BY$191)</f>
        <v>78014856</v>
      </c>
      <c r="BZ203" s="953">
        <f>SUMIF($E$4:$E$191,"520",$BZ$4:$BZ$191)</f>
        <v>0</v>
      </c>
      <c r="CA203" s="953">
        <f>SUMIF($E$4:$E$191,"520",$CA$4:$CA$191)</f>
        <v>0</v>
      </c>
      <c r="CB203" s="953">
        <f>SUMIF($E$4:$E$191,"520",$CB$4:$CB$191)</f>
        <v>0</v>
      </c>
      <c r="CC203" s="953">
        <f>SUMIF($E$4:$E$191,"520",$CC$4:$CC$191)</f>
        <v>0</v>
      </c>
      <c r="CD203" s="953">
        <f>SUMIF($E$4:$E$191,"520",$CD$4:$CD$191)</f>
        <v>0</v>
      </c>
      <c r="CE203" s="953">
        <f>SUMIF($E$4:$E$191,"520",$CE$4:$CE$191)</f>
        <v>366203659</v>
      </c>
      <c r="CF203" s="953">
        <f>SUMIF($E$4:$E$191,"520",$CF$4:$CF$191)</f>
        <v>0</v>
      </c>
      <c r="CG203" s="953">
        <f>SUMIF($E$4:$E$191,"520",$CG$4:$CG$191)</f>
        <v>8402536</v>
      </c>
      <c r="CH203" s="953">
        <f>SUMIF($E$4:$E$191,"520",$CH$4:$CH$191)</f>
        <v>0</v>
      </c>
      <c r="CI203" s="953">
        <f>SUMIF($E$4:$E$191,"111",$CI$4:$CI$191)</f>
        <v>0</v>
      </c>
      <c r="CJ203" s="953">
        <f>SUMIF($E$4:$E$191,"520",$CJ$4:$CJ$191)</f>
        <v>0</v>
      </c>
      <c r="CK203" s="953">
        <f>SUMIF($E$4:$E$191,"520",$CK$4:$CK$191)</f>
        <v>0</v>
      </c>
      <c r="CL203" s="956">
        <f>SUMIF($E$4:$E$193,"520",$CL$4:$CL$193)</f>
        <v>44470538</v>
      </c>
      <c r="CM203" s="959">
        <f t="shared" si="205"/>
        <v>0.65786456820266481</v>
      </c>
      <c r="CN203" s="149">
        <f t="shared" si="206"/>
        <v>1966515918</v>
      </c>
      <c r="CO203" s="951">
        <f>SUMIF($E$4:$E$193,"520",$CO$4:$CO$193)</f>
        <v>0</v>
      </c>
      <c r="CP203" s="951">
        <f>SUMIF($E$4:$E$191,"520",$CP$4:$CP$191)</f>
        <v>0</v>
      </c>
      <c r="CQ203" s="951">
        <f>SUMIF($E$4:$E$191,"520",$CQ$4:$CQ$191)</f>
        <v>0</v>
      </c>
      <c r="CR203" s="951">
        <f>SUMIF($E$4:$E$191,"520",$CR$4:$CR$191)</f>
        <v>40000000</v>
      </c>
      <c r="CS203" s="951">
        <f>SUMIF($E$4:$E$193,"520",$CS$4:$CS$193)</f>
        <v>0</v>
      </c>
      <c r="CT203" s="951">
        <f>SUMIF($E$4:$E$191,"520",$CT$4:$CT$191)</f>
        <v>501581004</v>
      </c>
      <c r="CU203" s="951">
        <f>SUMIF($E$4:$E$191,"520",$CU$4:$CU$191)</f>
        <v>707349678</v>
      </c>
      <c r="CV203" s="951">
        <f>SUMIF($E$4:$E$193,"520",$CV$4:$CV$193)</f>
        <v>0</v>
      </c>
      <c r="CW203" s="951">
        <f>SUMIF($E$4:$E$191,"520",$CW$4:$CW$191)</f>
        <v>0</v>
      </c>
      <c r="CX203" s="951">
        <f>SUMIF($E$4:$E$191,"520",$CX$4:$CX$191)</f>
        <v>0</v>
      </c>
      <c r="CY203" s="951">
        <f>SUMIF($E$4:$E$191,"520",$CY$4:$CY$191)</f>
        <v>0</v>
      </c>
      <c r="CZ203" s="951">
        <f>SUMIF($E$4:$E$191,"520",$CZ$4:$CZ$191)</f>
        <v>0</v>
      </c>
      <c r="DA203" s="951">
        <f>SUMIF($E$4:$E$191,"520",$DA$4:$DA$191)</f>
        <v>151633574</v>
      </c>
      <c r="DB203" s="951">
        <f>SUMIF($E$4:$E$191,"520",$DB$4:$DB$191)</f>
        <v>0</v>
      </c>
      <c r="DC203" s="951">
        <f>SUMIF($E$4:$E$191,"520",$DC$4:$DC$191)</f>
        <v>54136664</v>
      </c>
      <c r="DD203" s="951">
        <f>SUMIF($E$4:$E$191,"520",$DD$4:$DD$191)</f>
        <v>0</v>
      </c>
      <c r="DE203" s="951">
        <f>SUMIF($E$4:$E$191,"520",$DE$4:$DE$191)</f>
        <v>0</v>
      </c>
      <c r="DF203" s="951">
        <f>SUMIF($E$4:$E$191,"520",$DF$4:$DF$191)</f>
        <v>0</v>
      </c>
      <c r="DG203" s="951">
        <f>SUMIF($E$4:$E$191,"520",$DG$4:$DG$191)</f>
        <v>0</v>
      </c>
      <c r="DH203" s="952">
        <f>SUMIF($E$4:$E$191,"520",$DH$4:$DH$191)</f>
        <v>511814998</v>
      </c>
      <c r="DI203" s="1011">
        <f t="shared" si="207"/>
        <v>0.34213543179733519</v>
      </c>
      <c r="DJ203" s="149">
        <f t="shared" si="208"/>
        <v>1022725353</v>
      </c>
      <c r="DK203" s="1040">
        <f>SUMIF($E$4:$E$193,"520",$DK$4:$DK$193)</f>
        <v>0</v>
      </c>
      <c r="DL203" s="953">
        <f>SUMIF($E$4:$E$191,"520",$DL$4:$DL$191)</f>
        <v>0</v>
      </c>
      <c r="DM203" s="953">
        <f>SUMIF($E$4:$E$193,"520",$DM$4:$DM$193)</f>
        <v>0</v>
      </c>
      <c r="DN203" s="953">
        <f>SUMIF($E$4:$E$193,"520",$DN$4:$DN$193)</f>
        <v>10000000</v>
      </c>
      <c r="DO203" s="953">
        <f>SUMIF($E$4:$E$193,"520",$DO$4:$DO$193)</f>
        <v>72884540</v>
      </c>
      <c r="DP203" s="953">
        <f>SUMIF($E$4:$E$193,"520",$DP$4:$DP$193)</f>
        <v>158418996</v>
      </c>
      <c r="DQ203" s="953">
        <f>SUMIF($E$4:$E$193,"520",$DQ$4:$DQ$193)</f>
        <v>215665178</v>
      </c>
      <c r="DR203" s="953">
        <f>SUMIF($E$4:$E$193,"520",$DR$4:$DR$193)</f>
        <v>0</v>
      </c>
      <c r="DS203" s="208">
        <f>SUMIF($E$4:$E$191,"520",$DS$4:$DS$191)</f>
        <v>0</v>
      </c>
      <c r="DT203" s="208">
        <f>SUMIF($E$4:$E$191,"520",$DT$4:$DT$191)</f>
        <v>0</v>
      </c>
      <c r="DU203" s="208">
        <f>SUMIF($E$4:$E$193,"520",$DU$4:$DU$193)</f>
        <v>0</v>
      </c>
      <c r="DV203" s="208">
        <f>SUMIF($E$4:$E$191,"520",$DV$4:$DV$191)</f>
        <v>0</v>
      </c>
      <c r="DW203" s="208">
        <f>SUMIF($E$4:$E$191,"520",$DW$4:$DW$191)</f>
        <v>459230861</v>
      </c>
      <c r="DX203" s="208">
        <f>SUMIF($E$4:$E$193,"520",$DX$4:$DX$193)</f>
        <v>0</v>
      </c>
      <c r="DY203" s="208">
        <f>SUMIF($E$4:$E$191,"520",$DY$4:$DY$191)</f>
        <v>20863336</v>
      </c>
      <c r="DZ203" s="208">
        <f>SUMIF($E$4:$E$191,"520",$DZ$4:$DZ$191)</f>
        <v>0</v>
      </c>
      <c r="EA203" s="208">
        <f>SUMIF($E$4:$E$191,"520",$EA$4:$EA$191)</f>
        <v>0</v>
      </c>
      <c r="EB203" s="208">
        <f>SUMIF($E$4:$E$191,"520",$EB$4:$EB$191)</f>
        <v>0</v>
      </c>
      <c r="EC203" s="208">
        <f>SUMIF($E$4:$E$191,"520",$EC$4:$EC$191)</f>
        <v>0</v>
      </c>
      <c r="ED203" s="208">
        <f>SUMIF($E$4:$E$193,"520",$ED$4:$ED$193)</f>
        <v>85662442</v>
      </c>
      <c r="EF203" s="998" t="s">
        <v>3753</v>
      </c>
      <c r="EH203" s="951">
        <v>6657597529</v>
      </c>
      <c r="EI203" s="951">
        <v>2281390174</v>
      </c>
      <c r="EJ203" s="1639">
        <v>0.3427</v>
      </c>
    </row>
    <row r="204" spans="1:140" x14ac:dyDescent="0.25">
      <c r="C204" s="988"/>
      <c r="D204" s="1121" t="s">
        <v>4587</v>
      </c>
      <c r="E204" s="1122"/>
      <c r="F204" s="3"/>
      <c r="G204" s="875">
        <f>SUM(G198:G203)</f>
        <v>30001000000</v>
      </c>
      <c r="H204" s="1060">
        <f>SUM(H198:H203)</f>
        <v>12211963146</v>
      </c>
      <c r="I204" s="1060">
        <f>SUM(I198:I203)</f>
        <v>10321893357</v>
      </c>
      <c r="J204" s="3"/>
      <c r="K204" s="3"/>
      <c r="L204" s="3"/>
      <c r="M204" s="3"/>
      <c r="N204" s="3"/>
      <c r="O204" s="3"/>
      <c r="P204" s="3"/>
      <c r="Q204" s="3"/>
      <c r="R204" s="3"/>
      <c r="S204" s="3"/>
      <c r="T204" s="3"/>
      <c r="U204" s="3"/>
      <c r="V204" s="3"/>
      <c r="W204" s="3"/>
      <c r="X204" s="3"/>
      <c r="Y204" s="954">
        <f t="shared" ref="Y204:AT204" si="209">SUM(Y198:Y203)</f>
        <v>22533856503</v>
      </c>
      <c r="Z204" s="954">
        <f t="shared" si="209"/>
        <v>0</v>
      </c>
      <c r="AA204" s="955">
        <f t="shared" si="209"/>
        <v>134533656</v>
      </c>
      <c r="AB204" s="955">
        <f t="shared" si="209"/>
        <v>396726534</v>
      </c>
      <c r="AC204" s="955">
        <f t="shared" si="209"/>
        <v>9862143612</v>
      </c>
      <c r="AD204" s="955">
        <f t="shared" si="209"/>
        <v>92895874</v>
      </c>
      <c r="AE204" s="955">
        <f t="shared" si="209"/>
        <v>2509180877</v>
      </c>
      <c r="AF204" s="955">
        <f t="shared" si="209"/>
        <v>1300000000</v>
      </c>
      <c r="AG204" s="955">
        <f t="shared" si="209"/>
        <v>102810569</v>
      </c>
      <c r="AH204" s="955">
        <f t="shared" si="209"/>
        <v>219471348</v>
      </c>
      <c r="AI204" s="955">
        <f t="shared" si="209"/>
        <v>1940856</v>
      </c>
      <c r="AJ204" s="955">
        <f t="shared" si="209"/>
        <v>3438802</v>
      </c>
      <c r="AK204" s="955">
        <f t="shared" si="209"/>
        <v>318664514</v>
      </c>
      <c r="AL204" s="955">
        <f t="shared" si="209"/>
        <v>4114878115</v>
      </c>
      <c r="AM204" s="955">
        <f t="shared" si="209"/>
        <v>348609139</v>
      </c>
      <c r="AN204" s="955">
        <f t="shared" si="209"/>
        <v>727437634</v>
      </c>
      <c r="AO204" s="955">
        <f t="shared" si="209"/>
        <v>879054052</v>
      </c>
      <c r="AP204" s="955">
        <f t="shared" si="209"/>
        <v>0</v>
      </c>
      <c r="AQ204" s="955">
        <f t="shared" si="209"/>
        <v>80844085</v>
      </c>
      <c r="AR204" s="955">
        <f t="shared" si="209"/>
        <v>92524043</v>
      </c>
      <c r="AS204" s="955">
        <f t="shared" si="209"/>
        <v>1348702793</v>
      </c>
      <c r="AT204" s="955">
        <f t="shared" si="209"/>
        <v>0</v>
      </c>
      <c r="AU204" s="946">
        <f t="shared" si="201"/>
        <v>0.7766560263073492</v>
      </c>
      <c r="AV204" s="954">
        <f t="shared" ref="AV204:BP204" si="210">SUM(AV198:AV203)</f>
        <v>17501055449</v>
      </c>
      <c r="AW204" s="146">
        <f t="shared" si="210"/>
        <v>0</v>
      </c>
      <c r="AX204" s="146">
        <f t="shared" si="210"/>
        <v>127311678</v>
      </c>
      <c r="AY204" s="146">
        <f t="shared" si="210"/>
        <v>364926534</v>
      </c>
      <c r="AZ204" s="146">
        <f t="shared" si="210"/>
        <v>7617755369</v>
      </c>
      <c r="BA204" s="146">
        <f t="shared" si="210"/>
        <v>90387830</v>
      </c>
      <c r="BB204" s="146">
        <f t="shared" si="210"/>
        <v>2155554199</v>
      </c>
      <c r="BC204" s="146">
        <f t="shared" si="210"/>
        <v>1164170675</v>
      </c>
      <c r="BD204" s="146">
        <f t="shared" si="210"/>
        <v>102810569</v>
      </c>
      <c r="BE204" s="146">
        <f t="shared" si="210"/>
        <v>219471348</v>
      </c>
      <c r="BF204" s="146">
        <f t="shared" si="210"/>
        <v>0</v>
      </c>
      <c r="BG204" s="146">
        <f t="shared" si="210"/>
        <v>0</v>
      </c>
      <c r="BH204" s="146">
        <f t="shared" si="210"/>
        <v>166126063</v>
      </c>
      <c r="BI204" s="146">
        <f t="shared" si="210"/>
        <v>2656492070</v>
      </c>
      <c r="BJ204" s="146">
        <f t="shared" si="210"/>
        <v>230755419</v>
      </c>
      <c r="BK204" s="146">
        <f t="shared" si="210"/>
        <v>488800276</v>
      </c>
      <c r="BL204" s="146">
        <f t="shared" si="210"/>
        <v>864037826</v>
      </c>
      <c r="BM204" s="146">
        <f t="shared" si="210"/>
        <v>0</v>
      </c>
      <c r="BN204" s="146">
        <f t="shared" si="210"/>
        <v>80844085</v>
      </c>
      <c r="BO204" s="146">
        <f t="shared" si="210"/>
        <v>92524043</v>
      </c>
      <c r="BP204" s="146">
        <f t="shared" si="210"/>
        <v>1079087465</v>
      </c>
      <c r="BQ204" s="950">
        <f t="shared" si="203"/>
        <v>0.2233439736926508</v>
      </c>
      <c r="BR204" s="146">
        <f t="shared" ref="BR204:CL204" si="211">SUM(BR198:BR203)</f>
        <v>5032801054</v>
      </c>
      <c r="BS204" s="146">
        <f t="shared" si="211"/>
        <v>0</v>
      </c>
      <c r="BT204" s="146">
        <f t="shared" si="211"/>
        <v>7221978</v>
      </c>
      <c r="BU204" s="146">
        <f t="shared" si="211"/>
        <v>31800000</v>
      </c>
      <c r="BV204" s="149">
        <f t="shared" si="211"/>
        <v>2244388243</v>
      </c>
      <c r="BW204" s="149">
        <f t="shared" si="211"/>
        <v>2508044</v>
      </c>
      <c r="BX204" s="149">
        <f t="shared" si="211"/>
        <v>353626678</v>
      </c>
      <c r="BY204" s="149">
        <f t="shared" si="211"/>
        <v>135829325</v>
      </c>
      <c r="BZ204" s="149">
        <f t="shared" si="211"/>
        <v>0</v>
      </c>
      <c r="CA204" s="149">
        <f t="shared" si="211"/>
        <v>0</v>
      </c>
      <c r="CB204" s="149">
        <f t="shared" si="211"/>
        <v>1940856</v>
      </c>
      <c r="CC204" s="149">
        <f t="shared" si="211"/>
        <v>3438802</v>
      </c>
      <c r="CD204" s="149">
        <f t="shared" si="211"/>
        <v>152538451</v>
      </c>
      <c r="CE204" s="149">
        <f t="shared" si="211"/>
        <v>1458386045</v>
      </c>
      <c r="CF204" s="149">
        <f t="shared" si="211"/>
        <v>117853720</v>
      </c>
      <c r="CG204" s="149">
        <f t="shared" si="211"/>
        <v>238637358</v>
      </c>
      <c r="CH204" s="149">
        <f t="shared" si="211"/>
        <v>15016226</v>
      </c>
      <c r="CI204" s="149">
        <f t="shared" si="211"/>
        <v>0</v>
      </c>
      <c r="CJ204" s="149">
        <f t="shared" si="211"/>
        <v>0</v>
      </c>
      <c r="CK204" s="149">
        <f t="shared" si="211"/>
        <v>0</v>
      </c>
      <c r="CL204" s="149">
        <f t="shared" si="211"/>
        <v>269615328</v>
      </c>
      <c r="CM204" s="959">
        <f t="shared" si="205"/>
        <v>0.54193844468540864</v>
      </c>
      <c r="CN204" s="149">
        <f t="shared" ref="CN204:DH204" si="212">SUM(CN198:CN203)</f>
        <v>12211963146</v>
      </c>
      <c r="CO204" s="149">
        <f t="shared" si="212"/>
        <v>0</v>
      </c>
      <c r="CP204" s="219">
        <f t="shared" si="212"/>
        <v>127311678</v>
      </c>
      <c r="CQ204" s="219">
        <f t="shared" si="212"/>
        <v>364926534</v>
      </c>
      <c r="CR204" s="219">
        <f t="shared" si="212"/>
        <v>4707463138</v>
      </c>
      <c r="CS204" s="219">
        <f t="shared" si="212"/>
        <v>12550540</v>
      </c>
      <c r="CT204" s="954">
        <f t="shared" si="212"/>
        <v>1939216290</v>
      </c>
      <c r="CU204" s="954">
        <f t="shared" si="212"/>
        <v>1019225454</v>
      </c>
      <c r="CV204" s="954">
        <f t="shared" si="212"/>
        <v>102810569</v>
      </c>
      <c r="CW204" s="954">
        <f t="shared" si="212"/>
        <v>129471348</v>
      </c>
      <c r="CX204" s="954">
        <f t="shared" si="212"/>
        <v>0</v>
      </c>
      <c r="CY204" s="954">
        <f t="shared" si="212"/>
        <v>0</v>
      </c>
      <c r="CZ204" s="954">
        <f t="shared" si="212"/>
        <v>50855038</v>
      </c>
      <c r="DA204" s="954">
        <f t="shared" si="212"/>
        <v>1689569911</v>
      </c>
      <c r="DB204" s="954">
        <f t="shared" si="212"/>
        <v>163273356</v>
      </c>
      <c r="DC204" s="954">
        <f t="shared" si="212"/>
        <v>398265131</v>
      </c>
      <c r="DD204" s="954">
        <f t="shared" si="212"/>
        <v>603562553</v>
      </c>
      <c r="DE204" s="954">
        <f t="shared" si="212"/>
        <v>0</v>
      </c>
      <c r="DF204" s="954">
        <f t="shared" si="212"/>
        <v>32548551</v>
      </c>
      <c r="DG204" s="954">
        <f t="shared" si="212"/>
        <v>0</v>
      </c>
      <c r="DH204" s="955">
        <f t="shared" si="212"/>
        <v>870913055</v>
      </c>
      <c r="DI204" s="1011">
        <f t="shared" si="207"/>
        <v>0.45806155531459136</v>
      </c>
      <c r="DJ204" s="954">
        <f t="shared" ref="DJ204:ED204" ca="1" si="213">SUM(DJ198:DJ203)</f>
        <v>10321893357</v>
      </c>
      <c r="DK204" s="1041">
        <f t="shared" si="213"/>
        <v>0</v>
      </c>
      <c r="DL204" s="955">
        <f t="shared" ca="1" si="213"/>
        <v>7221978</v>
      </c>
      <c r="DM204" s="955">
        <f t="shared" si="213"/>
        <v>31800000</v>
      </c>
      <c r="DN204" s="955">
        <f t="shared" si="213"/>
        <v>5154680474</v>
      </c>
      <c r="DO204" s="955">
        <f t="shared" si="213"/>
        <v>80345334</v>
      </c>
      <c r="DP204" s="149">
        <f t="shared" si="213"/>
        <v>569964587</v>
      </c>
      <c r="DQ204" s="149">
        <f t="shared" si="213"/>
        <v>280774546</v>
      </c>
      <c r="DR204" s="149">
        <f t="shared" si="213"/>
        <v>0</v>
      </c>
      <c r="DS204" s="149">
        <f t="shared" si="213"/>
        <v>90000000</v>
      </c>
      <c r="DT204" s="149">
        <f t="shared" si="213"/>
        <v>1940856</v>
      </c>
      <c r="DU204" s="149">
        <f t="shared" si="213"/>
        <v>3438802</v>
      </c>
      <c r="DV204" s="149">
        <f t="shared" si="213"/>
        <v>267809476</v>
      </c>
      <c r="DW204" s="149">
        <f t="shared" si="213"/>
        <v>2425308204</v>
      </c>
      <c r="DX204" s="149">
        <f t="shared" si="213"/>
        <v>185335783</v>
      </c>
      <c r="DY204" s="149">
        <f t="shared" si="213"/>
        <v>329172503</v>
      </c>
      <c r="DZ204" s="149">
        <f t="shared" si="213"/>
        <v>275491499</v>
      </c>
      <c r="EA204" s="149">
        <f t="shared" si="213"/>
        <v>0</v>
      </c>
      <c r="EB204" s="149">
        <f t="shared" si="213"/>
        <v>48295534</v>
      </c>
      <c r="EC204" s="149">
        <f t="shared" si="213"/>
        <v>92524043</v>
      </c>
      <c r="ED204" s="149">
        <f t="shared" si="213"/>
        <v>477789738</v>
      </c>
      <c r="EF204" s="998" t="s">
        <v>4589</v>
      </c>
      <c r="EH204" s="951">
        <v>3641271790</v>
      </c>
      <c r="EI204" s="951">
        <v>2334992155</v>
      </c>
      <c r="EJ204" s="1639">
        <v>0.64129999999999998</v>
      </c>
    </row>
    <row r="205" spans="1:140" x14ac:dyDescent="0.25">
      <c r="C205" s="988"/>
      <c r="D205" s="1121" t="s">
        <v>3307</v>
      </c>
      <c r="E205" s="1127">
        <v>301</v>
      </c>
      <c r="F205" s="133"/>
      <c r="G205" s="875">
        <f>SUMIF($E$4:$E$193,"301",$G$4:$G$193)</f>
        <v>1952000000</v>
      </c>
      <c r="H205" s="1060">
        <f>SUMIF($E$4:$E$193,"301",$H$4:$H$193)</f>
        <v>2270218833</v>
      </c>
      <c r="I205" s="1060">
        <f>SUMIF($E$4:$E$193,"301",$I$4:$I$193)</f>
        <v>285017967</v>
      </c>
      <c r="J205" s="133" t="s">
        <v>4760</v>
      </c>
      <c r="K205" s="133"/>
      <c r="L205" s="133"/>
      <c r="M205" s="133"/>
      <c r="N205" s="133"/>
      <c r="O205" s="133"/>
      <c r="P205" s="133"/>
      <c r="Q205" s="133"/>
      <c r="R205" s="133"/>
      <c r="S205" s="133"/>
      <c r="T205" s="133"/>
      <c r="U205" s="133"/>
      <c r="V205" s="133"/>
      <c r="W205" s="133"/>
      <c r="X205" s="133"/>
      <c r="Y205" s="951">
        <f>SUMIF($E$4:$E$193,"301",$Y$4:$Y$193)</f>
        <v>2555236800</v>
      </c>
      <c r="Z205" s="951">
        <f>SUMIF($E$4:$E$193,"301",$Z$4:$Z$193)</f>
        <v>104079469</v>
      </c>
      <c r="AA205" s="216">
        <f>SUMIF($E$4:$E$191,"301",$AA$4:$AA$191)</f>
        <v>0</v>
      </c>
      <c r="AB205" s="216">
        <f>SUMIF($E$4:$E$194,"301",$AB$4:$AB$194)</f>
        <v>0</v>
      </c>
      <c r="AC205" s="216">
        <f>SUMIF($E$4:$E$193,"301",$AC$4:$AC$193)</f>
        <v>0</v>
      </c>
      <c r="AD205" s="951">
        <f>SUMIF($E$4:$E$193,"301",$AD$4:$AD$193)</f>
        <v>0</v>
      </c>
      <c r="AE205" s="133">
        <f>SUMIF($E$4:$E$191,"301",$AE$4:$AE$191)</f>
        <v>0</v>
      </c>
      <c r="AF205" s="133">
        <f>SUMIF($E$4:$E$191,"301",$AF$4:$AF$191)</f>
        <v>0</v>
      </c>
      <c r="AG205" s="133">
        <f>SUMIF($E$4:$E$191,"301",$AG$4:$AG$191)</f>
        <v>0</v>
      </c>
      <c r="AH205" s="133">
        <f>SUMIF($E$4:$E$191,"301",$AH$4:$AH$191)</f>
        <v>0</v>
      </c>
      <c r="AI205" s="133">
        <f>SUMIF($E$4:$E$191,"301",$AI$4:$AI$191)</f>
        <v>0</v>
      </c>
      <c r="AJ205" s="133">
        <f>SUMIF($E$4:$E$191,"301",$AJ$4:$AJ$191)</f>
        <v>0</v>
      </c>
      <c r="AK205" s="133">
        <f>SUMIF($E$4:$E$191,"301",$AK$4:$AK$191)</f>
        <v>0</v>
      </c>
      <c r="AL205" s="133">
        <f>SUMIF($E$4:$E$191,"301",$AL$4:$AL$191)</f>
        <v>0</v>
      </c>
      <c r="AM205" s="133">
        <f>SUMIF($E$4:$E$191,"301",$AM$4:$AM$191)</f>
        <v>728406867</v>
      </c>
      <c r="AN205" s="133">
        <f>SUMIF($E$4:$E$191,"301",$AN$4:$AN$191)</f>
        <v>346819196</v>
      </c>
      <c r="AO205" s="133">
        <f>SUMIF($E$4:$E$191,"301",$AO$4:$AO$191)</f>
        <v>120323279</v>
      </c>
      <c r="AP205" s="133">
        <f>SUMIF($E$4:$E$162,"301",$AP$4:$AP$162)</f>
        <v>1181607989</v>
      </c>
      <c r="AQ205" s="133">
        <f>SUMIF($E$4:$E$162,"301",$AQ$4:$AQ$162)</f>
        <v>0</v>
      </c>
      <c r="AR205" s="133">
        <f>SUMIF($E$4:$E$191,"301",$AR$4:$AR$191)</f>
        <v>0</v>
      </c>
      <c r="AS205" s="133">
        <f>SUMIF($E$4:$E$193,"301",$AS$4:$AS$193)</f>
        <v>74000000</v>
      </c>
      <c r="AU205" s="946">
        <f t="shared" si="201"/>
        <v>0.95536877443217783</v>
      </c>
      <c r="AV205" s="218">
        <f>SUM(AW205:BP205)</f>
        <v>2441193450</v>
      </c>
      <c r="AW205" s="951">
        <f>SUMIF($E$4:$E$191,"301",$AW$4:$AW$191)</f>
        <v>103245422</v>
      </c>
      <c r="AX205" s="951">
        <f>SUMIF($E$4:$E$193,"301",$AX$4:$AX$193)</f>
        <v>0</v>
      </c>
      <c r="AY205" s="951">
        <f>SUMIF($E$4:$E$193,"301",$AY$4:$AY$193)</f>
        <v>0</v>
      </c>
      <c r="AZ205" s="951">
        <f>SUMIF($E$4:$E$193,"301",$AZ$4:$AZ$193)</f>
        <v>0</v>
      </c>
      <c r="BA205" s="951">
        <f>SUMIF($E$4:$E$191,"301",$BA$4:$BA$191)</f>
        <v>0</v>
      </c>
      <c r="BB205" s="951">
        <f>SUMIF($E$4:$E$191,"301",$BB$4:$BB$191)</f>
        <v>0</v>
      </c>
      <c r="BC205" s="951">
        <f>SUMIF($E$4:$E$193,"301",$BC$4:$BC$193)</f>
        <v>0</v>
      </c>
      <c r="BD205" s="951">
        <f>SUMIF($E$4:$E$193,"301",$BD$4:$BD$193)</f>
        <v>0</v>
      </c>
      <c r="BE205" s="951">
        <f>SUMIF($E$4:$E$191,"301",$BE$4:$BE$191)</f>
        <v>0</v>
      </c>
      <c r="BF205" s="951">
        <f>SUMIF($E$4:$E$191,"301",$BF$4:$BF$191)</f>
        <v>0</v>
      </c>
      <c r="BG205" s="951">
        <f>SUMIF($E$4:$E$162,"301",$BG$4:$BG$162)</f>
        <v>0</v>
      </c>
      <c r="BH205" s="951">
        <f>SUMIF($E$4:$E$191,"301",$BH$4:$BH$191)</f>
        <v>0</v>
      </c>
      <c r="BI205" s="951">
        <f>SUMIF($E$4:$E$191,"301",$BI$4:$BI$191)</f>
        <v>0</v>
      </c>
      <c r="BJ205" s="951">
        <f>SUMIF($E$4:$E$191,"301",$BJ$4:$BJ$191)</f>
        <v>709199167</v>
      </c>
      <c r="BK205" s="951">
        <f>SUMIF($E$4:$E$193,"301",$BK$4:$BK$193)</f>
        <v>332734396</v>
      </c>
      <c r="BL205" s="951">
        <f>SUMIF($E$4:$E$191,"301",$BL$4:$BL$191)</f>
        <v>90750110</v>
      </c>
      <c r="BM205" s="951">
        <f>SUMIF($E$4:$E$191,"301",$BM$4:$BM$191)</f>
        <v>1141064355</v>
      </c>
      <c r="BN205" s="951">
        <f>SUMIF($E$4:$E$191,"301",$BN$4:$BN$191)</f>
        <v>0</v>
      </c>
      <c r="BO205" s="951">
        <f>SUMIF($E$4:$E$191,"301",$BO$4:$BO$191)</f>
        <v>0</v>
      </c>
      <c r="BP205" s="951">
        <f>SUMIF($E$4:$E$191,"301",$BP$4:$BP$191)</f>
        <v>64200000</v>
      </c>
      <c r="BQ205" s="950">
        <f t="shared" si="203"/>
        <v>4.4631225567822175E-2</v>
      </c>
      <c r="BR205" s="149">
        <f>SUM(BS205:CL205)</f>
        <v>114043350</v>
      </c>
      <c r="BS205" s="953">
        <f>SUMIF($E$4:$E$191,"301",$BS$4:$BS$191)</f>
        <v>834047</v>
      </c>
      <c r="BT205" s="953">
        <f>SUMIF($E$4:$E$191,"301",$BT$4:$BT$191)</f>
        <v>0</v>
      </c>
      <c r="BU205" s="953">
        <f>SUMIF($E$4:$E$191,"301",$BU$4:$BU$191)</f>
        <v>0</v>
      </c>
      <c r="BV205" s="953">
        <f>SUMIF($E$4:$E$193,"301",$BV$4:$BV$193)</f>
        <v>0</v>
      </c>
      <c r="BW205" s="953">
        <f>SUMIF($E$4:$E$193,"301",$BW$4:$BW$193)</f>
        <v>0</v>
      </c>
      <c r="BX205" s="953">
        <f>SUMIF($E$4:$E$191,"301",$BX$4:$BX$191)</f>
        <v>0</v>
      </c>
      <c r="BY205" s="953">
        <f>SUMIF($E$4:$E$191,"301",$BY$4:$BY$191)</f>
        <v>0</v>
      </c>
      <c r="BZ205" s="953">
        <f>SUMIF($E$4:$E$191,"301",$BZ$4:$BZ$191)</f>
        <v>0</v>
      </c>
      <c r="CA205" s="953">
        <f>SUMIF($E$4:$E$191,"301",$CA$4:$CA$191)</f>
        <v>0</v>
      </c>
      <c r="CB205" s="953">
        <f>SUMIF($E$4:$E$191,"301",$CB$4:$CB$191)</f>
        <v>0</v>
      </c>
      <c r="CC205" s="953">
        <f>SUMIF($E$4:$E$191,"301",$CC$4:$CC$191)</f>
        <v>0</v>
      </c>
      <c r="CD205" s="953">
        <f>SUMIF($E$4:$E$191,"301",$CD$4:$CD$191)</f>
        <v>0</v>
      </c>
      <c r="CE205" s="953">
        <f>SUMIF($E$4:$E$191,"301",$CE$4:$CE$191)</f>
        <v>0</v>
      </c>
      <c r="CF205" s="953">
        <f>SUMIF($E$4:$E$191,"301",$CF$4:$CF$191)</f>
        <v>19207700</v>
      </c>
      <c r="CG205" s="953">
        <f>SUMIF($E$4:$E$191,"301",$CG$4:$CG$191)</f>
        <v>14084800</v>
      </c>
      <c r="CH205" s="953">
        <f>SUMIF($E$4:$E$191,"301",$CH$4:$CH$191)</f>
        <v>29573169</v>
      </c>
      <c r="CI205" s="953">
        <f>SUMIF($E$4:$E$191,"301",$CI$4:$CI$191)</f>
        <v>40543634</v>
      </c>
      <c r="CJ205" s="953">
        <f>SUMIF($E$4:$E$191,"301",$CJ$4:$CJ$191)</f>
        <v>0</v>
      </c>
      <c r="CK205" s="953"/>
      <c r="CL205" s="956">
        <f>SUMIF($E$4:$E$193,"301",$CL$4:$CL$193)</f>
        <v>9800000</v>
      </c>
      <c r="CM205" s="959">
        <f t="shared" si="205"/>
        <v>0.88845731753706736</v>
      </c>
      <c r="CN205" s="149">
        <f>SUM(CO205:DH205)</f>
        <v>2270218833</v>
      </c>
      <c r="CO205" s="951">
        <f>SUMIF($E$4:$E$193,"301",$CO$4:$CO$193)</f>
        <v>94013966</v>
      </c>
      <c r="CP205" s="951">
        <f>SUMIF($E$4:$E$191,"301",$CP$4:$CP$191)</f>
        <v>0</v>
      </c>
      <c r="CQ205" s="951">
        <f>SUMIF($E$4:$E$191,"301",$CQ$4:$CQ$191)</f>
        <v>0</v>
      </c>
      <c r="CR205" s="951">
        <f>SUMIF($E$4:$E$191,"301",$CR$4:$CR$191)</f>
        <v>0</v>
      </c>
      <c r="CS205" s="951">
        <f>SUMIF($E$4:$E$193,"301",$CS$4:$CS$193)</f>
        <v>0</v>
      </c>
      <c r="CT205" s="951">
        <f>SUMIF($E$4:$E$191,"301",$CT$4:$CT$191)</f>
        <v>0</v>
      </c>
      <c r="CU205" s="951">
        <f>SUMIF($E$4:$E$191,"301",$CU$4:$CU$191)</f>
        <v>0</v>
      </c>
      <c r="CV205" s="951">
        <f>SUMIF($E$4:$E$193,"301",$CV$4:$CV$193)</f>
        <v>0</v>
      </c>
      <c r="CW205" s="951">
        <f>SUMIF($E$4:$E$191,"301",$CW$4:$CW$191)</f>
        <v>0</v>
      </c>
      <c r="CX205" s="951">
        <f>SUMIF($E$4:$E$191,"301",$CX$4:$CX$191)</f>
        <v>0</v>
      </c>
      <c r="CY205" s="951">
        <f>SUMIF($E$4:$E$191,"301",$CY$4:$CY$191)</f>
        <v>0</v>
      </c>
      <c r="CZ205" s="951">
        <f>SUMIF($E$4:$E$191,"301",$CZ$4:$CZ$191)</f>
        <v>0</v>
      </c>
      <c r="DA205" s="951">
        <f>SUMIF($E$4:$E$191,"301",$DA$4:$DA$191)</f>
        <v>0</v>
      </c>
      <c r="DB205" s="951">
        <f>SUMIF($E$4:$E$193,"301",$DB$4:$DB$193)</f>
        <v>670072305</v>
      </c>
      <c r="DC205" s="951">
        <f>SUMIF($E$4:$E$191,"301",$DC$4:$DC$191)</f>
        <v>332531008</v>
      </c>
      <c r="DD205" s="951">
        <f>SUMIF($E$4:$E$191,"301",$DD$4:$DD$191)</f>
        <v>56390498</v>
      </c>
      <c r="DE205" s="951">
        <f>SUMIF($E$4:$E$191,"301",$DE$4:$DE$191)</f>
        <v>1082996639</v>
      </c>
      <c r="DF205" s="951">
        <f>SUMIF($E$4:$E$191,"301",$DF$4:$DF$191)</f>
        <v>0</v>
      </c>
      <c r="DG205" s="951">
        <f>SUMIF($E$4:$E$191,"301",$DG$4:$DG$191)</f>
        <v>0</v>
      </c>
      <c r="DH205" s="952">
        <f>SUMIF($E$4:$E$191,"301",$DH$4:$DH$191)</f>
        <v>34214417</v>
      </c>
      <c r="DI205" s="1011">
        <f t="shared" si="207"/>
        <v>0.11154268246293264</v>
      </c>
      <c r="DJ205" s="149">
        <f>SUM(DK205:ED205)</f>
        <v>285017967</v>
      </c>
      <c r="DK205" s="1040">
        <f>SUMIF($E$4:$E$193,"301",$DK$4:$DK$193)</f>
        <v>10065503</v>
      </c>
      <c r="DL205" s="953">
        <f>SUMIF($E$4:$E$191,"301",$DL$4:$DL$191)</f>
        <v>0</v>
      </c>
      <c r="DM205" s="953">
        <f>SUMIF($E$4:$E$193,"301",$DM$4:$DM$193)</f>
        <v>0</v>
      </c>
      <c r="DN205" s="953">
        <f>SUMIF($E$4:$E$191,"301",$DN$4:$DN$191)</f>
        <v>0</v>
      </c>
      <c r="DO205" s="953">
        <f>SUMIF($E$4:$E$193,"301",$DO$4:$DO$193)</f>
        <v>0</v>
      </c>
      <c r="DP205" s="953">
        <f>SUMIF($E$4:$E$193,"301",$DP$4:$DP$193)</f>
        <v>0</v>
      </c>
      <c r="DQ205" s="953">
        <f>SUMIF($E$4:$E$191,"301",$DQ$4:$DQ$191)</f>
        <v>0</v>
      </c>
      <c r="DR205" s="953">
        <f>SUMIF($E$4:$E$193,"301",$DR$4:$DR$193)</f>
        <v>0</v>
      </c>
      <c r="DS205" s="208">
        <f>SUMIF($E$4:$E$191,"301",$DS$4:$DS$191)</f>
        <v>0</v>
      </c>
      <c r="DT205" s="208">
        <f>SUMIF($E$4:$E$191,"301",$DT$4:$DT$191)</f>
        <v>0</v>
      </c>
      <c r="DU205" s="208">
        <f>SUMIF($E$4:$E$193,"301",$DU$4:$DU$193)</f>
        <v>0</v>
      </c>
      <c r="DV205" s="208">
        <f>SUMIF($E$4:$E$191,"301",$DV$4:$DV$191)</f>
        <v>0</v>
      </c>
      <c r="DW205" s="208">
        <f>SUMIF($E$4:$E$191,"301",$DW$4:$DW$191)</f>
        <v>0</v>
      </c>
      <c r="DX205" s="208">
        <f>SUMIF($E$4:$E$193,"301",$DX$4:$DX$193)</f>
        <v>58334562</v>
      </c>
      <c r="DY205" s="208">
        <f>SUMIF($E$4:$E$191,"301",$DY$4:$DY$191)</f>
        <v>14288188</v>
      </c>
      <c r="DZ205" s="208">
        <f>SUMIF($E$4:$E$191,"301",$DZ$4:$DZ$191)</f>
        <v>63932781</v>
      </c>
      <c r="EA205" s="208">
        <f>SUMIF($E$4:$E$191,"301",$EA$4:$EA$191)</f>
        <v>98611350</v>
      </c>
      <c r="EB205" s="208">
        <f>SUMIF($E$4:$E$191,"301",$EB$4:$EB$191)</f>
        <v>0</v>
      </c>
      <c r="EC205" s="208">
        <f>SUMIF($E$4:$E$191,"301",$EC$4:$EC$191)</f>
        <v>0</v>
      </c>
      <c r="ED205" s="208">
        <f>SUMIF($E$4:$E$193,"301",$ED$4:$ED$193)</f>
        <v>39785583</v>
      </c>
      <c r="EF205" s="998" t="s">
        <v>674</v>
      </c>
      <c r="EH205" s="951">
        <v>1176253184</v>
      </c>
      <c r="EI205" s="951">
        <v>867111433</v>
      </c>
      <c r="EJ205" s="1639">
        <v>0.73719999999999997</v>
      </c>
    </row>
    <row r="206" spans="1:140" ht="15.75" thickBot="1" x14ac:dyDescent="0.3">
      <c r="C206" s="1533" t="s">
        <v>4588</v>
      </c>
      <c r="D206" s="1534"/>
      <c r="E206" s="132"/>
      <c r="F206" s="134"/>
      <c r="G206" s="145">
        <f>SUM(G204:G205)</f>
        <v>31953000000</v>
      </c>
      <c r="H206" s="134">
        <f>SUM(H204:H205)</f>
        <v>14482181979</v>
      </c>
      <c r="I206" s="134">
        <f>SUM(I204:I205)</f>
        <v>10606911324</v>
      </c>
      <c r="J206" s="134"/>
      <c r="K206" s="134"/>
      <c r="L206" s="134"/>
      <c r="M206" s="134"/>
      <c r="N206" s="134"/>
      <c r="O206" s="134"/>
      <c r="P206" s="134"/>
      <c r="Q206" s="134"/>
      <c r="R206" s="134"/>
      <c r="S206" s="134"/>
      <c r="T206" s="134"/>
      <c r="U206" s="134"/>
      <c r="V206" s="134"/>
      <c r="W206" s="134"/>
      <c r="X206" s="134"/>
      <c r="Y206" s="945">
        <f t="shared" ref="Y206:AT206" si="214">SUM(Y204:Y205)</f>
        <v>25089093303</v>
      </c>
      <c r="Z206" s="945">
        <f t="shared" si="214"/>
        <v>104079469</v>
      </c>
      <c r="AA206" s="945">
        <f t="shared" si="214"/>
        <v>134533656</v>
      </c>
      <c r="AB206" s="945">
        <f t="shared" si="214"/>
        <v>396726534</v>
      </c>
      <c r="AC206" s="945">
        <f t="shared" si="214"/>
        <v>9862143612</v>
      </c>
      <c r="AD206" s="945">
        <f t="shared" si="214"/>
        <v>92895874</v>
      </c>
      <c r="AE206" s="945">
        <f t="shared" si="214"/>
        <v>2509180877</v>
      </c>
      <c r="AF206" s="945">
        <f t="shared" si="214"/>
        <v>1300000000</v>
      </c>
      <c r="AG206" s="945">
        <f t="shared" si="214"/>
        <v>102810569</v>
      </c>
      <c r="AH206" s="945">
        <f t="shared" si="214"/>
        <v>219471348</v>
      </c>
      <c r="AI206" s="945">
        <f t="shared" si="214"/>
        <v>1940856</v>
      </c>
      <c r="AJ206" s="945">
        <f t="shared" si="214"/>
        <v>3438802</v>
      </c>
      <c r="AK206" s="945">
        <f t="shared" si="214"/>
        <v>318664514</v>
      </c>
      <c r="AL206" s="945">
        <f t="shared" si="214"/>
        <v>4114878115</v>
      </c>
      <c r="AM206" s="945">
        <f t="shared" si="214"/>
        <v>1077016006</v>
      </c>
      <c r="AN206" s="945">
        <f t="shared" si="214"/>
        <v>1074256830</v>
      </c>
      <c r="AO206" s="945">
        <f t="shared" si="214"/>
        <v>999377331</v>
      </c>
      <c r="AP206" s="945">
        <f t="shared" si="214"/>
        <v>1181607989</v>
      </c>
      <c r="AQ206" s="945">
        <f t="shared" si="214"/>
        <v>80844085</v>
      </c>
      <c r="AR206" s="945">
        <f t="shared" si="214"/>
        <v>92524043</v>
      </c>
      <c r="AS206" s="945">
        <f t="shared" si="214"/>
        <v>1422702793</v>
      </c>
      <c r="AT206" s="945">
        <f t="shared" si="214"/>
        <v>0</v>
      </c>
      <c r="AU206" s="958">
        <f t="shared" si="201"/>
        <v>0.7948572974781607</v>
      </c>
      <c r="AV206" s="947">
        <f t="shared" ref="AV206:BP206" si="215">AV204+AV205</f>
        <v>19942248899</v>
      </c>
      <c r="AW206" s="947">
        <f t="shared" si="215"/>
        <v>103245422</v>
      </c>
      <c r="AX206" s="947">
        <f t="shared" si="215"/>
        <v>127311678</v>
      </c>
      <c r="AY206" s="947">
        <f t="shared" si="215"/>
        <v>364926534</v>
      </c>
      <c r="AZ206" s="947">
        <f t="shared" si="215"/>
        <v>7617755369</v>
      </c>
      <c r="BA206" s="947">
        <f t="shared" si="215"/>
        <v>90387830</v>
      </c>
      <c r="BB206" s="947">
        <f t="shared" si="215"/>
        <v>2155554199</v>
      </c>
      <c r="BC206" s="947">
        <f t="shared" si="215"/>
        <v>1164170675</v>
      </c>
      <c r="BD206" s="947">
        <f t="shared" si="215"/>
        <v>102810569</v>
      </c>
      <c r="BE206" s="947">
        <f t="shared" si="215"/>
        <v>219471348</v>
      </c>
      <c r="BF206" s="947">
        <f t="shared" si="215"/>
        <v>0</v>
      </c>
      <c r="BG206" s="947">
        <f t="shared" si="215"/>
        <v>0</v>
      </c>
      <c r="BH206" s="947">
        <f t="shared" si="215"/>
        <v>166126063</v>
      </c>
      <c r="BI206" s="947">
        <f t="shared" si="215"/>
        <v>2656492070</v>
      </c>
      <c r="BJ206" s="947">
        <f t="shared" si="215"/>
        <v>939954586</v>
      </c>
      <c r="BK206" s="947">
        <f t="shared" si="215"/>
        <v>821534672</v>
      </c>
      <c r="BL206" s="947">
        <f t="shared" si="215"/>
        <v>954787936</v>
      </c>
      <c r="BM206" s="947">
        <f t="shared" si="215"/>
        <v>1141064355</v>
      </c>
      <c r="BN206" s="947">
        <f t="shared" si="215"/>
        <v>80844085</v>
      </c>
      <c r="BO206" s="947">
        <f t="shared" si="215"/>
        <v>92524043</v>
      </c>
      <c r="BP206" s="947">
        <f t="shared" si="215"/>
        <v>1143287465</v>
      </c>
      <c r="BQ206" s="950">
        <f t="shared" si="203"/>
        <v>0.2051427025218393</v>
      </c>
      <c r="BR206" s="947">
        <f>BR204+BR205</f>
        <v>5146844404</v>
      </c>
      <c r="BS206" s="947">
        <f>BS204+BS205</f>
        <v>834047</v>
      </c>
      <c r="BT206" s="947">
        <f>BT204+BT205</f>
        <v>7221978</v>
      </c>
      <c r="BU206" s="947">
        <f>BU204+BU205</f>
        <v>31800000</v>
      </c>
      <c r="BV206" s="966">
        <f t="shared" ref="BV206:CL206" si="216">+BV204+BV205</f>
        <v>2244388243</v>
      </c>
      <c r="BW206" s="966">
        <f t="shared" si="216"/>
        <v>2508044</v>
      </c>
      <c r="BX206" s="966">
        <f t="shared" si="216"/>
        <v>353626678</v>
      </c>
      <c r="BY206" s="966">
        <f t="shared" si="216"/>
        <v>135829325</v>
      </c>
      <c r="BZ206" s="966">
        <f t="shared" si="216"/>
        <v>0</v>
      </c>
      <c r="CA206" s="966">
        <f t="shared" si="216"/>
        <v>0</v>
      </c>
      <c r="CB206" s="966">
        <f t="shared" si="216"/>
        <v>1940856</v>
      </c>
      <c r="CC206" s="966">
        <f t="shared" si="216"/>
        <v>3438802</v>
      </c>
      <c r="CD206" s="966">
        <f t="shared" si="216"/>
        <v>152538451</v>
      </c>
      <c r="CE206" s="966">
        <f t="shared" si="216"/>
        <v>1458386045</v>
      </c>
      <c r="CF206" s="966">
        <f t="shared" si="216"/>
        <v>137061420</v>
      </c>
      <c r="CG206" s="966">
        <f t="shared" si="216"/>
        <v>252722158</v>
      </c>
      <c r="CH206" s="966">
        <f t="shared" si="216"/>
        <v>44589395</v>
      </c>
      <c r="CI206" s="966">
        <f t="shared" si="216"/>
        <v>40543634</v>
      </c>
      <c r="CJ206" s="966">
        <f t="shared" si="216"/>
        <v>0</v>
      </c>
      <c r="CK206" s="966">
        <f t="shared" si="216"/>
        <v>0</v>
      </c>
      <c r="CL206" s="966">
        <f t="shared" si="216"/>
        <v>279415328</v>
      </c>
      <c r="CM206" s="960">
        <f t="shared" si="205"/>
        <v>0.57723018540762927</v>
      </c>
      <c r="CN206" s="1047">
        <f t="shared" ref="CN206:CS206" si="217">+CN204+CN205</f>
        <v>14482181979</v>
      </c>
      <c r="CO206" s="966">
        <f t="shared" si="217"/>
        <v>94013966</v>
      </c>
      <c r="CP206" s="966">
        <f t="shared" si="217"/>
        <v>127311678</v>
      </c>
      <c r="CQ206" s="966">
        <f t="shared" si="217"/>
        <v>364926534</v>
      </c>
      <c r="CR206" s="966">
        <f t="shared" si="217"/>
        <v>4707463138</v>
      </c>
      <c r="CS206" s="966">
        <f t="shared" si="217"/>
        <v>12550540</v>
      </c>
      <c r="CT206" s="945">
        <f t="shared" ref="CT206:DH206" si="218">SUM(CT204:CT205)</f>
        <v>1939216290</v>
      </c>
      <c r="CU206" s="945">
        <f t="shared" si="218"/>
        <v>1019225454</v>
      </c>
      <c r="CV206" s="945">
        <f t="shared" si="218"/>
        <v>102810569</v>
      </c>
      <c r="CW206" s="945">
        <f t="shared" si="218"/>
        <v>129471348</v>
      </c>
      <c r="CX206" s="945">
        <f t="shared" si="218"/>
        <v>0</v>
      </c>
      <c r="CY206" s="945">
        <f t="shared" si="218"/>
        <v>0</v>
      </c>
      <c r="CZ206" s="945">
        <f t="shared" si="218"/>
        <v>50855038</v>
      </c>
      <c r="DA206" s="945">
        <f t="shared" si="218"/>
        <v>1689569911</v>
      </c>
      <c r="DB206" s="945">
        <f t="shared" si="218"/>
        <v>833345661</v>
      </c>
      <c r="DC206" s="945">
        <f t="shared" si="218"/>
        <v>730796139</v>
      </c>
      <c r="DD206" s="945">
        <f t="shared" si="218"/>
        <v>659953051</v>
      </c>
      <c r="DE206" s="945">
        <f t="shared" si="218"/>
        <v>1082996639</v>
      </c>
      <c r="DF206" s="945">
        <f t="shared" si="218"/>
        <v>32548551</v>
      </c>
      <c r="DG206" s="945">
        <f t="shared" si="218"/>
        <v>0</v>
      </c>
      <c r="DH206" s="957">
        <f t="shared" si="218"/>
        <v>905127472</v>
      </c>
      <c r="DI206" s="1034">
        <f t="shared" si="207"/>
        <v>0.42276981459237073</v>
      </c>
      <c r="DJ206" s="945">
        <f t="shared" ref="DJ206:ED206" ca="1" si="219">SUM(DJ204:DJ205)</f>
        <v>10606911324</v>
      </c>
      <c r="DK206" s="1042">
        <f t="shared" si="219"/>
        <v>10065503</v>
      </c>
      <c r="DL206" s="957">
        <f t="shared" ca="1" si="219"/>
        <v>7221978</v>
      </c>
      <c r="DM206" s="957">
        <f t="shared" si="219"/>
        <v>31800000</v>
      </c>
      <c r="DN206" s="957">
        <f t="shared" si="219"/>
        <v>5154680474</v>
      </c>
      <c r="DO206" s="957">
        <f t="shared" si="219"/>
        <v>80345334</v>
      </c>
      <c r="DP206" s="945">
        <f t="shared" si="219"/>
        <v>569964587</v>
      </c>
      <c r="DQ206" s="945">
        <f t="shared" si="219"/>
        <v>280774546</v>
      </c>
      <c r="DR206" s="945">
        <f t="shared" si="219"/>
        <v>0</v>
      </c>
      <c r="DS206" s="145">
        <f t="shared" si="219"/>
        <v>90000000</v>
      </c>
      <c r="DT206" s="145">
        <f t="shared" si="219"/>
        <v>1940856</v>
      </c>
      <c r="DU206" s="145">
        <f t="shared" si="219"/>
        <v>3438802</v>
      </c>
      <c r="DV206" s="145">
        <f t="shared" si="219"/>
        <v>267809476</v>
      </c>
      <c r="DW206" s="145">
        <f t="shared" si="219"/>
        <v>2425308204</v>
      </c>
      <c r="DX206" s="145">
        <f t="shared" si="219"/>
        <v>243670345</v>
      </c>
      <c r="DY206" s="145">
        <f t="shared" si="219"/>
        <v>343460691</v>
      </c>
      <c r="DZ206" s="145">
        <f t="shared" si="219"/>
        <v>339424280</v>
      </c>
      <c r="EA206" s="145">
        <f t="shared" si="219"/>
        <v>98611350</v>
      </c>
      <c r="EB206" s="145">
        <f t="shared" si="219"/>
        <v>48295534</v>
      </c>
      <c r="EC206" s="145">
        <f t="shared" si="219"/>
        <v>92524043</v>
      </c>
      <c r="ED206" s="145">
        <f t="shared" si="219"/>
        <v>517575321</v>
      </c>
      <c r="EF206" s="998" t="s">
        <v>443</v>
      </c>
      <c r="EH206" s="951">
        <v>6535792729</v>
      </c>
      <c r="EI206" s="951">
        <v>3906305329</v>
      </c>
      <c r="EJ206" s="1639">
        <v>0.59770000000000001</v>
      </c>
    </row>
    <row r="207" spans="1:140" ht="15.75" thickTop="1" x14ac:dyDescent="0.25">
      <c r="Y207" s="1"/>
      <c r="Z207" s="1"/>
      <c r="AA207" s="1"/>
      <c r="AB207" s="1"/>
      <c r="AC207" s="1"/>
      <c r="AD207" s="1"/>
      <c r="AE207" s="1"/>
      <c r="AF207" s="1"/>
      <c r="AG207" s="1"/>
      <c r="AH207" s="1"/>
      <c r="AI207" s="1"/>
      <c r="AJ207" s="1"/>
      <c r="AK207" s="1"/>
      <c r="AL207" s="1"/>
      <c r="AM207" s="1"/>
      <c r="AN207" s="1"/>
      <c r="AO207" s="1"/>
      <c r="AP207" s="1"/>
      <c r="AQ207" s="1"/>
      <c r="AR207" s="1"/>
      <c r="AS207" s="1"/>
      <c r="AV207" s="1"/>
      <c r="AW207" s="1"/>
      <c r="AX207" s="1"/>
      <c r="AY207" s="1"/>
      <c r="AZ207" s="1"/>
      <c r="BA207" s="1"/>
      <c r="BB207" s="1"/>
      <c r="BC207" s="1"/>
      <c r="BD207" s="1"/>
      <c r="BE207" s="1"/>
      <c r="BF207" s="1"/>
      <c r="BG207" s="1"/>
      <c r="BH207" s="1"/>
      <c r="BI207" s="1"/>
      <c r="BJ207" s="1"/>
      <c r="BK207" s="1"/>
      <c r="BL207" s="1"/>
      <c r="BM207" s="1"/>
      <c r="BN207" s="1"/>
      <c r="BO207" s="1"/>
      <c r="BP207" s="1"/>
      <c r="BR207" s="1"/>
      <c r="BS207" s="1"/>
      <c r="BT207" s="1"/>
      <c r="BU207" s="1"/>
      <c r="BV207" s="1"/>
      <c r="BW207" s="1"/>
      <c r="BX207" s="1"/>
      <c r="BY207" s="1"/>
      <c r="BZ207" s="1"/>
      <c r="CA207" s="1"/>
      <c r="CB207" s="1"/>
      <c r="CC207" s="1"/>
      <c r="CD207" s="1"/>
      <c r="CE207" s="1"/>
      <c r="CF207" s="1"/>
      <c r="CG207" s="1"/>
      <c r="CH207" s="1"/>
      <c r="CI207" s="1"/>
      <c r="CJ207" s="1"/>
      <c r="CK207" s="1"/>
      <c r="CL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f t="shared" ref="DJ207:ED207" si="220">+DK196-DK206</f>
        <v>0</v>
      </c>
      <c r="DL207" s="1">
        <f t="shared" ca="1" si="220"/>
        <v>0</v>
      </c>
      <c r="DM207" s="1">
        <f t="shared" si="220"/>
        <v>0</v>
      </c>
      <c r="DN207" s="1">
        <f t="shared" si="220"/>
        <v>0</v>
      </c>
      <c r="DO207" s="1">
        <f t="shared" si="220"/>
        <v>0</v>
      </c>
      <c r="DP207" s="1">
        <f t="shared" si="220"/>
        <v>0</v>
      </c>
      <c r="DQ207" s="1">
        <f t="shared" si="220"/>
        <v>0</v>
      </c>
      <c r="DR207" s="1">
        <f t="shared" si="220"/>
        <v>0</v>
      </c>
      <c r="DS207" s="1">
        <f t="shared" si="220"/>
        <v>0</v>
      </c>
      <c r="DT207" s="1">
        <f t="shared" si="220"/>
        <v>0</v>
      </c>
      <c r="DU207" s="1">
        <f t="shared" si="220"/>
        <v>0</v>
      </c>
      <c r="DV207" s="1">
        <f t="shared" si="220"/>
        <v>0</v>
      </c>
      <c r="DW207" s="1">
        <f t="shared" si="220"/>
        <v>0</v>
      </c>
      <c r="DX207" s="1">
        <f t="shared" si="220"/>
        <v>0</v>
      </c>
      <c r="DY207" s="1">
        <f t="shared" si="220"/>
        <v>0</v>
      </c>
      <c r="DZ207" s="1">
        <f t="shared" si="220"/>
        <v>0</v>
      </c>
      <c r="EA207" s="1">
        <f t="shared" si="220"/>
        <v>0</v>
      </c>
      <c r="EB207" s="1">
        <f t="shared" si="220"/>
        <v>0</v>
      </c>
      <c r="EC207" s="1">
        <f t="shared" si="220"/>
        <v>0</v>
      </c>
      <c r="ED207" s="1">
        <f t="shared" si="220"/>
        <v>0</v>
      </c>
      <c r="EF207" s="998" t="s">
        <v>3755</v>
      </c>
      <c r="EH207" s="951">
        <v>1533700000</v>
      </c>
      <c r="EI207" s="951">
        <v>855648137</v>
      </c>
      <c r="EJ207" s="1639">
        <v>0.55789999999999995</v>
      </c>
    </row>
    <row r="208" spans="1:140" x14ac:dyDescent="0.25">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F208" s="998" t="s">
        <v>1517</v>
      </c>
      <c r="EH208" s="951">
        <v>2989241271</v>
      </c>
      <c r="EI208" s="951">
        <v>1966515918</v>
      </c>
      <c r="EJ208" s="1639">
        <v>0.65790000000000004</v>
      </c>
    </row>
    <row r="209" spans="4:140" x14ac:dyDescent="0.25">
      <c r="D209" s="1049"/>
      <c r="F209" s="1"/>
      <c r="G209" s="1"/>
      <c r="H209" s="1"/>
      <c r="I209" s="1"/>
      <c r="J209" s="1"/>
      <c r="K209" s="1"/>
      <c r="L209" s="1"/>
      <c r="M209" s="1"/>
      <c r="N209" s="1"/>
      <c r="O209" s="1"/>
      <c r="P209" s="1"/>
      <c r="Q209" s="1"/>
      <c r="R209" s="1"/>
      <c r="S209" s="1"/>
      <c r="T209" s="1"/>
      <c r="U209" s="1"/>
      <c r="V209" s="1"/>
      <c r="W209" s="1"/>
      <c r="X209" s="1"/>
      <c r="Y209" s="599"/>
      <c r="Z209" s="1"/>
      <c r="AA209" s="1"/>
      <c r="AB209" s="1"/>
      <c r="AC209" s="1"/>
      <c r="AD209" s="1"/>
      <c r="AE209" s="1"/>
      <c r="AF209" s="1"/>
      <c r="AG209" s="1"/>
      <c r="AH209" s="1"/>
      <c r="AI209" s="1"/>
      <c r="AJ209" s="1"/>
      <c r="AK209" s="1"/>
      <c r="AL209" s="1"/>
      <c r="AM209" s="1"/>
      <c r="AN209" s="1"/>
      <c r="AO209" s="1"/>
      <c r="AP209" s="1"/>
      <c r="AQ209" s="1"/>
      <c r="AR209" s="1"/>
      <c r="AS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N209" s="1"/>
      <c r="CO209" s="1"/>
      <c r="CP209" s="1"/>
      <c r="CQ209" s="1"/>
      <c r="CR209" s="1"/>
      <c r="CS209" s="1"/>
      <c r="CT209" s="1"/>
      <c r="CU209" s="1"/>
      <c r="CV209" s="1"/>
      <c r="CW209" s="1"/>
      <c r="CX209" s="1"/>
      <c r="CY209" s="1"/>
      <c r="CZ209" s="1"/>
      <c r="DA209" s="1"/>
      <c r="DB209" s="1"/>
      <c r="DC209" s="1"/>
      <c r="DD209" s="1"/>
      <c r="DE209" s="1"/>
      <c r="DF209" s="1"/>
      <c r="DG209" s="1"/>
      <c r="DH209" s="1"/>
      <c r="DJ209" s="1"/>
      <c r="DK209" s="1"/>
      <c r="DL209" s="1"/>
      <c r="DM209" s="1"/>
      <c r="DN209" s="1"/>
      <c r="DO209" s="1"/>
      <c r="DP209" s="1"/>
      <c r="DQ209" s="1"/>
      <c r="DR209" s="1"/>
      <c r="DS209" s="1"/>
      <c r="DT209" s="1"/>
      <c r="DU209" s="1"/>
      <c r="DV209" s="1"/>
      <c r="DW209" s="1"/>
      <c r="DX209" s="1"/>
      <c r="DY209" s="1"/>
      <c r="DZ209" s="1"/>
      <c r="EA209" s="1"/>
      <c r="EB209" s="1"/>
      <c r="EC209" s="1"/>
      <c r="ED209" s="1"/>
      <c r="EF209" s="998" t="s">
        <v>3307</v>
      </c>
      <c r="EH209" s="951">
        <v>2555236800</v>
      </c>
      <c r="EI209" s="951">
        <v>2270218833</v>
      </c>
      <c r="EJ209" s="1639">
        <v>0.88849999999999996</v>
      </c>
    </row>
    <row r="210" spans="4:140" x14ac:dyDescent="0.25">
      <c r="D210" s="495"/>
      <c r="Y210" s="597"/>
      <c r="Z210" s="1"/>
      <c r="AA210" s="1"/>
      <c r="AB210" s="1"/>
      <c r="AC210" s="1"/>
      <c r="AD210" s="1"/>
      <c r="AE210" s="964"/>
      <c r="AO210" s="1"/>
      <c r="AR210" s="1"/>
      <c r="AS210" s="1"/>
      <c r="AV210" s="1"/>
      <c r="AW210" s="1"/>
      <c r="AX210" s="1"/>
      <c r="AY210" s="1"/>
      <c r="BR210" s="1"/>
      <c r="CN210" s="1"/>
      <c r="CO210" s="1"/>
      <c r="DH210" s="1"/>
      <c r="DJ210" s="1"/>
      <c r="DK210" s="1"/>
    </row>
    <row r="211" spans="4:140" x14ac:dyDescent="0.25">
      <c r="D211" s="495"/>
      <c r="Y211" s="597"/>
      <c r="Z211" s="1"/>
      <c r="AA211" s="1"/>
      <c r="AB211" s="1"/>
      <c r="AC211" s="1"/>
      <c r="AD211" s="1"/>
      <c r="AS211" s="1"/>
      <c r="AV211" s="1"/>
      <c r="AW211" s="1"/>
      <c r="CN211" s="1"/>
      <c r="DH211" s="1"/>
      <c r="DJ211" s="1"/>
      <c r="DK211" s="1"/>
    </row>
    <row r="212" spans="4:140" x14ac:dyDescent="0.25">
      <c r="D212" s="495"/>
      <c r="Y212" s="597"/>
      <c r="AA212" s="1"/>
      <c r="AN212" s="1"/>
      <c r="AV212" s="1"/>
    </row>
    <row r="213" spans="4:140" x14ac:dyDescent="0.25">
      <c r="D213" s="495"/>
      <c r="Y213" s="597"/>
      <c r="AN213" s="1"/>
      <c r="AV213" s="1"/>
      <c r="CN213" s="1"/>
    </row>
    <row r="214" spans="4:140" ht="1.5" customHeight="1" x14ac:dyDescent="0.25">
      <c r="D214" s="495"/>
      <c r="Y214" s="597"/>
      <c r="AA214" s="1"/>
      <c r="AC214" s="1"/>
    </row>
    <row r="215" spans="4:140" x14ac:dyDescent="0.25">
      <c r="D215" s="495"/>
      <c r="Y215" s="597"/>
      <c r="AC215" s="1"/>
      <c r="EF215" s="998"/>
    </row>
    <row r="216" spans="4:140" x14ac:dyDescent="0.25">
      <c r="AA216" s="1"/>
      <c r="EF216" s="998"/>
    </row>
    <row r="217" spans="4:140" x14ac:dyDescent="0.25">
      <c r="EF217" s="998"/>
    </row>
    <row r="218" spans="4:140" x14ac:dyDescent="0.25">
      <c r="EF218" s="998"/>
    </row>
    <row r="219" spans="4:140" x14ac:dyDescent="0.25">
      <c r="EF219" s="998"/>
    </row>
    <row r="220" spans="4:140" x14ac:dyDescent="0.25">
      <c r="EF220" s="998"/>
    </row>
    <row r="221" spans="4:140" x14ac:dyDescent="0.25">
      <c r="EF221" s="998"/>
    </row>
    <row r="267" spans="4:46" ht="17.25" customHeight="1" x14ac:dyDescent="0.25">
      <c r="D267" s="1640" t="s">
        <v>4993</v>
      </c>
      <c r="E267" s="1640"/>
      <c r="F267" s="1640"/>
      <c r="G267" s="1640"/>
      <c r="H267" s="1640"/>
      <c r="I267" s="1640"/>
      <c r="J267" s="1640"/>
      <c r="K267" s="1640"/>
      <c r="L267" s="1640"/>
      <c r="M267" s="1640"/>
      <c r="N267" s="1640"/>
      <c r="O267" s="1640"/>
      <c r="P267" s="1640"/>
      <c r="Q267" s="1640"/>
      <c r="R267" s="1640"/>
      <c r="S267" s="1640"/>
      <c r="T267" s="1640"/>
      <c r="U267" s="1640"/>
      <c r="V267" s="1640"/>
      <c r="W267" s="1640"/>
      <c r="X267" s="1640"/>
      <c r="Y267" s="1640"/>
      <c r="Z267" s="1640"/>
      <c r="AA267" s="1640"/>
      <c r="AB267" s="1640"/>
      <c r="AC267" s="1640"/>
      <c r="AT267" s="1122"/>
    </row>
    <row r="268" spans="4:46" ht="18" customHeight="1" x14ac:dyDescent="0.25">
      <c r="D268" s="1641" t="s">
        <v>4747</v>
      </c>
      <c r="E268" s="1642" t="s">
        <v>4994</v>
      </c>
      <c r="F268" s="1642" t="s">
        <v>5000</v>
      </c>
      <c r="G268" s="1641" t="s">
        <v>4995</v>
      </c>
      <c r="H268" s="1641"/>
      <c r="I268" s="1641"/>
      <c r="J268" s="1641"/>
      <c r="K268" s="1641"/>
      <c r="L268" s="1641"/>
      <c r="M268" s="1641" t="s">
        <v>4214</v>
      </c>
      <c r="N268" s="1641"/>
      <c r="O268" s="1641"/>
      <c r="P268" s="1641"/>
      <c r="Q268" s="1641"/>
      <c r="R268" s="1641"/>
      <c r="S268" s="1641"/>
      <c r="T268" s="1641"/>
      <c r="U268" s="1641"/>
      <c r="V268" s="1641"/>
      <c r="W268" s="1641"/>
      <c r="X268" s="1641" t="s">
        <v>4996</v>
      </c>
      <c r="Y268" s="1641" t="s">
        <v>4214</v>
      </c>
      <c r="Z268" s="1641" t="s">
        <v>4997</v>
      </c>
      <c r="AA268" s="1641"/>
      <c r="AB268" s="1641"/>
      <c r="AC268" s="1641" t="s">
        <v>4214</v>
      </c>
    </row>
    <row r="269" spans="4:46" ht="17.25" customHeight="1" x14ac:dyDescent="0.25">
      <c r="D269" s="1643" t="s">
        <v>4751</v>
      </c>
      <c r="E269" s="959">
        <v>0.50895187845862722</v>
      </c>
      <c r="F269" s="950">
        <v>0.59799999999999998</v>
      </c>
      <c r="G269" s="946">
        <v>0.2147</v>
      </c>
      <c r="H269" s="1643"/>
      <c r="I269" s="1643"/>
      <c r="J269" s="1643"/>
      <c r="K269" s="1643"/>
      <c r="L269" s="1643"/>
      <c r="M269" s="946" t="e">
        <f>#REF!-#REF!</f>
        <v>#REF!</v>
      </c>
      <c r="N269" s="1643"/>
      <c r="O269" s="1643"/>
      <c r="P269" s="1643"/>
      <c r="Q269" s="1643"/>
      <c r="R269" s="1643"/>
      <c r="S269" s="1643"/>
      <c r="T269" s="1643"/>
      <c r="U269" s="1643"/>
      <c r="V269" s="1643"/>
      <c r="W269" s="1643"/>
      <c r="X269" s="1644">
        <v>8.111822761423336E-2</v>
      </c>
      <c r="Y269" s="946">
        <f>F269-E269</f>
        <v>8.904812154137276E-2</v>
      </c>
      <c r="Z269" s="1645">
        <v>20.77</v>
      </c>
      <c r="AA269" s="1646"/>
      <c r="AB269" s="1646"/>
      <c r="AC269" s="1647">
        <v>7.0000000000000001E-3</v>
      </c>
    </row>
    <row r="270" spans="4:46" ht="18" customHeight="1" x14ac:dyDescent="0.25">
      <c r="D270" s="1643" t="s">
        <v>4755</v>
      </c>
      <c r="E270" s="959">
        <v>0.53521014328971994</v>
      </c>
      <c r="F270" s="950">
        <v>0.59770000000000001</v>
      </c>
      <c r="G270" s="946">
        <v>0.4083</v>
      </c>
      <c r="H270" s="1643"/>
      <c r="I270" s="1643"/>
      <c r="J270" s="1643"/>
      <c r="K270" s="1643"/>
      <c r="L270" s="1643"/>
      <c r="M270" s="946" t="e">
        <f>#REF!-#REF!</f>
        <v>#REF!</v>
      </c>
      <c r="N270" s="1643"/>
      <c r="O270" s="1643"/>
      <c r="P270" s="1643"/>
      <c r="Q270" s="1643"/>
      <c r="R270" s="1643"/>
      <c r="S270" s="1643"/>
      <c r="T270" s="1643"/>
      <c r="U270" s="1643"/>
      <c r="V270" s="1643"/>
      <c r="W270" s="1643"/>
      <c r="X270" s="1644">
        <v>0.22310118724265898</v>
      </c>
      <c r="Y270" s="946">
        <f t="shared" ref="Y270:Y274" si="221">F270-E270</f>
        <v>6.2489856710280067E-2</v>
      </c>
      <c r="Z270" s="1645">
        <v>32.64</v>
      </c>
      <c r="AA270" s="1646"/>
      <c r="AB270" s="1646"/>
      <c r="AC270" s="1647">
        <v>8.1900000000000001E-2</v>
      </c>
    </row>
    <row r="271" spans="4:46" ht="17.25" customHeight="1" x14ac:dyDescent="0.25">
      <c r="D271" s="1643" t="s">
        <v>4998</v>
      </c>
      <c r="E271" s="959">
        <v>0.62019037773414976</v>
      </c>
      <c r="F271" s="950">
        <v>0.65790000000000004</v>
      </c>
      <c r="G271" s="946">
        <v>0.38629999999999998</v>
      </c>
      <c r="H271" s="1643"/>
      <c r="I271" s="1643"/>
      <c r="J271" s="1643"/>
      <c r="K271" s="1643"/>
      <c r="L271" s="1643"/>
      <c r="M271" s="946" t="e">
        <f>#REF!-#REF!</f>
        <v>#REF!</v>
      </c>
      <c r="N271" s="1643"/>
      <c r="O271" s="1643"/>
      <c r="P271" s="1643"/>
      <c r="Q271" s="1643"/>
      <c r="R271" s="1643"/>
      <c r="S271" s="1643"/>
      <c r="T271" s="1643"/>
      <c r="U271" s="1643"/>
      <c r="V271" s="1643"/>
      <c r="W271" s="1643"/>
      <c r="X271" s="1644">
        <v>0.18101588262876894</v>
      </c>
      <c r="Y271" s="946">
        <f t="shared" si="221"/>
        <v>3.7709622265850284E-2</v>
      </c>
      <c r="Z271" s="1645">
        <v>34.11</v>
      </c>
      <c r="AA271" s="1646"/>
      <c r="AB271" s="1646"/>
      <c r="AC271" s="1647">
        <v>4.5199999999999997E-2</v>
      </c>
    </row>
    <row r="272" spans="4:46" ht="17.25" customHeight="1" x14ac:dyDescent="0.25">
      <c r="D272" s="1643" t="s">
        <v>3743</v>
      </c>
      <c r="E272" s="959">
        <v>0.77713932736097102</v>
      </c>
      <c r="F272" s="950">
        <v>0.88849999999999996</v>
      </c>
      <c r="G272" s="946">
        <v>0.65500000000000003</v>
      </c>
      <c r="H272" s="1643"/>
      <c r="I272" s="1643"/>
      <c r="J272" s="1643"/>
      <c r="K272" s="1643"/>
      <c r="L272" s="1643"/>
      <c r="M272" s="946" t="e">
        <f>#REF!-#REF!</f>
        <v>#REF!</v>
      </c>
      <c r="N272" s="1643"/>
      <c r="O272" s="1643"/>
      <c r="P272" s="1643"/>
      <c r="Q272" s="1643"/>
      <c r="R272" s="1643"/>
      <c r="S272" s="1643"/>
      <c r="T272" s="1643"/>
      <c r="U272" s="1643"/>
      <c r="V272" s="1643"/>
      <c r="W272" s="1643"/>
      <c r="X272" s="1644">
        <v>0.2183665793345527</v>
      </c>
      <c r="Y272" s="946">
        <f t="shared" si="221"/>
        <v>0.11136067263902893</v>
      </c>
      <c r="Z272" s="1645">
        <v>66.25</v>
      </c>
      <c r="AA272" s="1646"/>
      <c r="AB272" s="1646"/>
      <c r="AC272" s="1647">
        <v>-7.4999999999999997E-3</v>
      </c>
    </row>
    <row r="273" spans="4:29" ht="17.25" customHeight="1" x14ac:dyDescent="0.25">
      <c r="D273" s="1643" t="s">
        <v>4757</v>
      </c>
      <c r="E273" s="959">
        <v>0.4230419090888336</v>
      </c>
      <c r="F273" s="950">
        <v>0.46860000000000002</v>
      </c>
      <c r="G273" s="946">
        <v>0.25090000000000001</v>
      </c>
      <c r="H273" s="1643"/>
      <c r="I273" s="1643"/>
      <c r="J273" s="1643"/>
      <c r="K273" s="1643"/>
      <c r="L273" s="1643"/>
      <c r="M273" s="946" t="e">
        <f>#REF!-#REF!</f>
        <v>#REF!</v>
      </c>
      <c r="N273" s="1643"/>
      <c r="O273" s="1643"/>
      <c r="P273" s="1643"/>
      <c r="Q273" s="1643"/>
      <c r="R273" s="1643"/>
      <c r="S273" s="1643"/>
      <c r="T273" s="1643"/>
      <c r="U273" s="1643"/>
      <c r="V273" s="1643"/>
      <c r="W273" s="1643"/>
      <c r="X273" s="1644">
        <v>3.0112468306268254E-2</v>
      </c>
      <c r="Y273" s="946">
        <f t="shared" si="221"/>
        <v>4.5558090911166416E-2</v>
      </c>
      <c r="Z273" s="1645">
        <v>11.04</v>
      </c>
      <c r="AA273" s="1646"/>
      <c r="AB273" s="1646"/>
      <c r="AC273" s="1647">
        <v>0.14050000000000001</v>
      </c>
    </row>
    <row r="274" spans="4:29" ht="18" customHeight="1" x14ac:dyDescent="0.25">
      <c r="D274" s="1641" t="s">
        <v>4999</v>
      </c>
      <c r="E274" s="238">
        <v>0.51819999999999999</v>
      </c>
      <c r="F274" s="238">
        <v>0.57723018540762927</v>
      </c>
      <c r="G274" s="1648">
        <v>0.34549999999999997</v>
      </c>
      <c r="H274" s="1070"/>
      <c r="I274" s="1070"/>
      <c r="J274" s="1070"/>
      <c r="K274" s="1070"/>
      <c r="L274" s="1070"/>
      <c r="M274" s="946" t="e">
        <f>#REF!-#REF!</f>
        <v>#REF!</v>
      </c>
      <c r="N274" s="1070"/>
      <c r="O274" s="1070"/>
      <c r="P274" s="1070"/>
      <c r="Q274" s="1070"/>
      <c r="R274" s="1070"/>
      <c r="S274" s="1070"/>
      <c r="T274" s="1070"/>
      <c r="U274" s="1070"/>
      <c r="V274" s="1070"/>
      <c r="W274" s="1070"/>
      <c r="X274" s="1649">
        <v>8.6592865575989497E-2</v>
      </c>
      <c r="Y274" s="946">
        <f t="shared" si="221"/>
        <v>5.9030185407629276E-2</v>
      </c>
      <c r="Z274" s="1648">
        <v>0.21110000000000001</v>
      </c>
      <c r="AA274" s="1649"/>
      <c r="AB274" s="1649"/>
      <c r="AC274" s="1647">
        <v>0.13439999999999999</v>
      </c>
    </row>
  </sheetData>
  <mergeCells count="246">
    <mergeCell ref="C206:D206"/>
    <mergeCell ref="B104:E104"/>
    <mergeCell ref="B128:E128"/>
    <mergeCell ref="D267:AC267"/>
    <mergeCell ref="G191:G192"/>
    <mergeCell ref="J191:J192"/>
    <mergeCell ref="K191:K192"/>
    <mergeCell ref="L191:L192"/>
    <mergeCell ref="B194:D194"/>
    <mergeCell ref="C196:E196"/>
    <mergeCell ref="G185:G189"/>
    <mergeCell ref="J186:J187"/>
    <mergeCell ref="K186:K187"/>
    <mergeCell ref="L186:L187"/>
    <mergeCell ref="J188:J189"/>
    <mergeCell ref="K188:K189"/>
    <mergeCell ref="L188:L189"/>
    <mergeCell ref="J172:J175"/>
    <mergeCell ref="K172:K175"/>
    <mergeCell ref="L172:L175"/>
    <mergeCell ref="G176:G183"/>
    <mergeCell ref="J176:J183"/>
    <mergeCell ref="K176:K183"/>
    <mergeCell ref="L176:L183"/>
    <mergeCell ref="J166:J168"/>
    <mergeCell ref="K166:K168"/>
    <mergeCell ref="L166:L168"/>
    <mergeCell ref="J169:J171"/>
    <mergeCell ref="K169:K171"/>
    <mergeCell ref="L169:L171"/>
    <mergeCell ref="J160:J162"/>
    <mergeCell ref="K160:K162"/>
    <mergeCell ref="L160:L162"/>
    <mergeCell ref="J163:J165"/>
    <mergeCell ref="K163:K165"/>
    <mergeCell ref="L163:L165"/>
    <mergeCell ref="J154:J156"/>
    <mergeCell ref="K154:K156"/>
    <mergeCell ref="L154:L156"/>
    <mergeCell ref="J157:J159"/>
    <mergeCell ref="K157:K159"/>
    <mergeCell ref="L157:L159"/>
    <mergeCell ref="J149:J150"/>
    <mergeCell ref="K149:K150"/>
    <mergeCell ref="L149:L150"/>
    <mergeCell ref="J151:J153"/>
    <mergeCell ref="K151:K153"/>
    <mergeCell ref="L151:L153"/>
    <mergeCell ref="J144:J146"/>
    <mergeCell ref="K144:K146"/>
    <mergeCell ref="L144:L146"/>
    <mergeCell ref="J147:J148"/>
    <mergeCell ref="K147:K148"/>
    <mergeCell ref="L147:L148"/>
    <mergeCell ref="J140:J141"/>
    <mergeCell ref="K140:K141"/>
    <mergeCell ref="L140:L141"/>
    <mergeCell ref="J142:J143"/>
    <mergeCell ref="K142:K143"/>
    <mergeCell ref="L142:L143"/>
    <mergeCell ref="M123:M124"/>
    <mergeCell ref="O123:O124"/>
    <mergeCell ref="P123:P124"/>
    <mergeCell ref="A129:A193"/>
    <mergeCell ref="G129:G130"/>
    <mergeCell ref="G131:G175"/>
    <mergeCell ref="J138:J139"/>
    <mergeCell ref="K138:K139"/>
    <mergeCell ref="L138:L139"/>
    <mergeCell ref="M114:M116"/>
    <mergeCell ref="P114:P116"/>
    <mergeCell ref="M117:M120"/>
    <mergeCell ref="P117:P120"/>
    <mergeCell ref="M121:M122"/>
    <mergeCell ref="P121:P122"/>
    <mergeCell ref="K106:K107"/>
    <mergeCell ref="L106:L107"/>
    <mergeCell ref="J110:J111"/>
    <mergeCell ref="K110:K111"/>
    <mergeCell ref="L110:L111"/>
    <mergeCell ref="J112:J113"/>
    <mergeCell ref="K112:K113"/>
    <mergeCell ref="L112:L113"/>
    <mergeCell ref="G99:G100"/>
    <mergeCell ref="G101:G103"/>
    <mergeCell ref="A105:A127"/>
    <mergeCell ref="G105:G113"/>
    <mergeCell ref="J106:J107"/>
    <mergeCell ref="E114:E116"/>
    <mergeCell ref="F114:F116"/>
    <mergeCell ref="G123:G126"/>
    <mergeCell ref="G93:G94"/>
    <mergeCell ref="G95:G98"/>
    <mergeCell ref="J97:J98"/>
    <mergeCell ref="K97:K98"/>
    <mergeCell ref="L97:L98"/>
    <mergeCell ref="B99:B100"/>
    <mergeCell ref="C99:C100"/>
    <mergeCell ref="D99:D100"/>
    <mergeCell ref="E99:E100"/>
    <mergeCell ref="F99:F100"/>
    <mergeCell ref="J87:J88"/>
    <mergeCell ref="K87:K88"/>
    <mergeCell ref="L87:L88"/>
    <mergeCell ref="G89:G92"/>
    <mergeCell ref="J89:J92"/>
    <mergeCell ref="K89:K92"/>
    <mergeCell ref="L89:L92"/>
    <mergeCell ref="J83:J84"/>
    <mergeCell ref="K83:K84"/>
    <mergeCell ref="L83:L84"/>
    <mergeCell ref="J85:J86"/>
    <mergeCell ref="K85:K86"/>
    <mergeCell ref="L85:L86"/>
    <mergeCell ref="J74:J76"/>
    <mergeCell ref="K74:K76"/>
    <mergeCell ref="L74:L76"/>
    <mergeCell ref="G77:G88"/>
    <mergeCell ref="J77:J78"/>
    <mergeCell ref="K77:K78"/>
    <mergeCell ref="L77:L78"/>
    <mergeCell ref="J81:J82"/>
    <mergeCell ref="K81:K82"/>
    <mergeCell ref="L81:L82"/>
    <mergeCell ref="B67:E67"/>
    <mergeCell ref="A68:A103"/>
    <mergeCell ref="G68:G73"/>
    <mergeCell ref="J69:J70"/>
    <mergeCell ref="K69:K70"/>
    <mergeCell ref="L69:L70"/>
    <mergeCell ref="J72:J73"/>
    <mergeCell ref="K72:K73"/>
    <mergeCell ref="L72:L73"/>
    <mergeCell ref="G74:G76"/>
    <mergeCell ref="J63:J64"/>
    <mergeCell ref="K63:K64"/>
    <mergeCell ref="L63:L64"/>
    <mergeCell ref="J65:J66"/>
    <mergeCell ref="K65:K66"/>
    <mergeCell ref="L65:L66"/>
    <mergeCell ref="J54:J55"/>
    <mergeCell ref="K54:K55"/>
    <mergeCell ref="L54:L55"/>
    <mergeCell ref="G56:G57"/>
    <mergeCell ref="G58:G59"/>
    <mergeCell ref="J58:J59"/>
    <mergeCell ref="K58:K59"/>
    <mergeCell ref="L58:L59"/>
    <mergeCell ref="J48:J49"/>
    <mergeCell ref="K48:K49"/>
    <mergeCell ref="L48:L49"/>
    <mergeCell ref="J50:J52"/>
    <mergeCell ref="K50:K52"/>
    <mergeCell ref="L50:L52"/>
    <mergeCell ref="B34:E34"/>
    <mergeCell ref="A35:A66"/>
    <mergeCell ref="G35:G37"/>
    <mergeCell ref="G38:G43"/>
    <mergeCell ref="G44:G47"/>
    <mergeCell ref="G48:G52"/>
    <mergeCell ref="G53:G55"/>
    <mergeCell ref="G61:G66"/>
    <mergeCell ref="G27:G29"/>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A4:A33"/>
    <mergeCell ref="G4:G9"/>
    <mergeCell ref="J4:J9"/>
    <mergeCell ref="K4:K9"/>
    <mergeCell ref="L4:L9"/>
    <mergeCell ref="G10:G16"/>
    <mergeCell ref="J10:J16"/>
    <mergeCell ref="K10:K16"/>
    <mergeCell ref="L10:L16"/>
    <mergeCell ref="G17:G21"/>
    <mergeCell ref="DW1:DX2"/>
    <mergeCell ref="DY1:DZ2"/>
    <mergeCell ref="EA1:EB2"/>
    <mergeCell ref="EC1:ED2"/>
    <mergeCell ref="A2:A3"/>
    <mergeCell ref="B2:B3"/>
    <mergeCell ref="C2:C3"/>
    <mergeCell ref="D2:D3"/>
    <mergeCell ref="E2:E3"/>
    <mergeCell ref="F2:F3"/>
    <mergeCell ref="DK1:DL2"/>
    <mergeCell ref="DM1:DN2"/>
    <mergeCell ref="DO1:DP2"/>
    <mergeCell ref="DQ1:DR2"/>
    <mergeCell ref="DS1:DT2"/>
    <mergeCell ref="DU1:DV2"/>
    <mergeCell ref="BK1:BL2"/>
    <mergeCell ref="BM1:BN2"/>
    <mergeCell ref="BO1:BP2"/>
    <mergeCell ref="BQ1:BR2"/>
    <mergeCell ref="CM1:CN2"/>
    <mergeCell ref="DI1:DJ2"/>
    <mergeCell ref="AY1:AZ2"/>
    <mergeCell ref="BA1:BB2"/>
    <mergeCell ref="BC1:BD2"/>
    <mergeCell ref="BE1:BF2"/>
    <mergeCell ref="BG1:BH2"/>
    <mergeCell ref="BI1:BJ2"/>
    <mergeCell ref="AP1:AP3"/>
    <mergeCell ref="AQ1:AQ3"/>
    <mergeCell ref="AR1:AR3"/>
    <mergeCell ref="AS1:AS3"/>
    <mergeCell ref="AU1:AV2"/>
    <mergeCell ref="AW1:AX2"/>
    <mergeCell ref="AJ1:AJ3"/>
    <mergeCell ref="AK1:AK3"/>
    <mergeCell ref="AL1:AL3"/>
    <mergeCell ref="AM1:AM3"/>
    <mergeCell ref="AN1:AN3"/>
    <mergeCell ref="AO1:AO3"/>
    <mergeCell ref="AD1:AD3"/>
    <mergeCell ref="AE1:AE3"/>
    <mergeCell ref="AF1:AF3"/>
    <mergeCell ref="AG1:AG3"/>
    <mergeCell ref="AH1:AH3"/>
    <mergeCell ref="AI1:AI3"/>
    <mergeCell ref="C1:F1"/>
    <mergeCell ref="Y1:Y3"/>
    <mergeCell ref="Z1:Z3"/>
    <mergeCell ref="AA1:AA3"/>
    <mergeCell ref="AB1:AB3"/>
    <mergeCell ref="AC1:AC3"/>
    <mergeCell ref="M2:O2"/>
    <mergeCell ref="P2:R2"/>
    <mergeCell ref="S2:U2"/>
    <mergeCell ref="V2:X2"/>
  </mergeCells>
  <conditionalFormatting sqref="AU173:AU174">
    <cfRule type="containsErrors" dxfId="15" priority="16">
      <formula>ISERROR(AU173)</formula>
    </cfRule>
  </conditionalFormatting>
  <conditionalFormatting sqref="BQ173:BQ174">
    <cfRule type="containsErrors" dxfId="14" priority="15">
      <formula>ISERROR(BQ173)</formula>
    </cfRule>
  </conditionalFormatting>
  <conditionalFormatting sqref="CM173:CM174">
    <cfRule type="containsErrors" dxfId="13" priority="14">
      <formula>ISERROR(CM173)</formula>
    </cfRule>
  </conditionalFormatting>
  <conditionalFormatting sqref="CM175">
    <cfRule type="containsErrors" dxfId="12" priority="13">
      <formula>ISERROR(CM175)</formula>
    </cfRule>
  </conditionalFormatting>
  <conditionalFormatting sqref="DI173:DI174">
    <cfRule type="containsErrors" dxfId="11" priority="12">
      <formula>ISERROR(DI173)</formula>
    </cfRule>
  </conditionalFormatting>
  <conditionalFormatting sqref="CM165 CO165:DI165">
    <cfRule type="containsErrors" dxfId="10" priority="11">
      <formula>ISERROR(CM165)</formula>
    </cfRule>
  </conditionalFormatting>
  <conditionalFormatting sqref="AU179">
    <cfRule type="containsErrors" dxfId="9" priority="10">
      <formula>ISERROR(AU179)</formula>
    </cfRule>
  </conditionalFormatting>
  <conditionalFormatting sqref="AU180">
    <cfRule type="containsErrors" dxfId="8" priority="9">
      <formula>ISERROR(AU180)</formula>
    </cfRule>
  </conditionalFormatting>
  <conditionalFormatting sqref="BQ179:BQ180">
    <cfRule type="containsErrors" dxfId="7" priority="8">
      <formula>ISERROR(BQ179)</formula>
    </cfRule>
  </conditionalFormatting>
  <conditionalFormatting sqref="CM179:CM180">
    <cfRule type="containsErrors" dxfId="6" priority="7">
      <formula>ISERROR(CM179)</formula>
    </cfRule>
  </conditionalFormatting>
  <conditionalFormatting sqref="DI179:DI180">
    <cfRule type="containsErrors" dxfId="5" priority="6">
      <formula>ISERROR(DI179)</formula>
    </cfRule>
  </conditionalFormatting>
  <conditionalFormatting sqref="AU183">
    <cfRule type="containsErrors" dxfId="4" priority="5">
      <formula>ISERROR(AU183)</formula>
    </cfRule>
  </conditionalFormatting>
  <conditionalFormatting sqref="BQ183">
    <cfRule type="containsErrors" dxfId="3" priority="4">
      <formula>ISERROR(BQ183)</formula>
    </cfRule>
  </conditionalFormatting>
  <conditionalFormatting sqref="CM183">
    <cfRule type="containsErrors" dxfId="2" priority="3">
      <formula>ISERROR(CM183)</formula>
    </cfRule>
  </conditionalFormatting>
  <conditionalFormatting sqref="DI183">
    <cfRule type="containsErrors" dxfId="1" priority="2">
      <formula>ISERROR(DI183)</formula>
    </cfRule>
  </conditionalFormatting>
  <conditionalFormatting sqref="BQ165">
    <cfRule type="containsErrors" dxfId="0" priority="1">
      <formula>ISERROR(BQ165)</formula>
    </cfRule>
  </conditionalFormatting>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31 DE OCTUBRE  2015
 RESOLUCION  221 DEL 20 DE OCTUBRE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61" t="s">
        <v>0</v>
      </c>
      <c r="B4" s="1161" t="s">
        <v>449</v>
      </c>
      <c r="C4" s="1161" t="s">
        <v>450</v>
      </c>
      <c r="D4" s="1161" t="s">
        <v>451</v>
      </c>
      <c r="E4" s="1161" t="s">
        <v>452</v>
      </c>
      <c r="F4" s="1161" t="s">
        <v>453</v>
      </c>
      <c r="G4" s="1161" t="s">
        <v>454</v>
      </c>
      <c r="H4" s="1161" t="s">
        <v>455</v>
      </c>
      <c r="I4" s="1163" t="s">
        <v>456</v>
      </c>
      <c r="J4" s="1165" t="s">
        <v>457</v>
      </c>
      <c r="K4" s="1165"/>
      <c r="L4" s="1165"/>
      <c r="M4" s="1165"/>
      <c r="N4" s="1166" t="s">
        <v>461</v>
      </c>
      <c r="O4" s="1166"/>
      <c r="P4" s="1166"/>
      <c r="Q4" s="1167"/>
    </row>
    <row r="5" spans="1:17" ht="19.5" customHeight="1" x14ac:dyDescent="0.25">
      <c r="A5" s="1168"/>
      <c r="B5" s="1168"/>
      <c r="C5" s="1168"/>
      <c r="D5" s="1168"/>
      <c r="E5" s="1168"/>
      <c r="F5" s="1162"/>
      <c r="G5" s="1162"/>
      <c r="H5" s="1162"/>
      <c r="I5" s="1164"/>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52">
        <v>74</v>
      </c>
      <c r="B79" s="1152" t="s">
        <v>591</v>
      </c>
      <c r="C79" s="1152" t="s">
        <v>592</v>
      </c>
      <c r="D79" s="1152" t="s">
        <v>593</v>
      </c>
      <c r="E79" s="1152" t="s">
        <v>594</v>
      </c>
      <c r="F79" s="1152" t="s">
        <v>595</v>
      </c>
      <c r="G79" s="1152" t="s">
        <v>636</v>
      </c>
      <c r="H79" s="1159">
        <v>0</v>
      </c>
      <c r="I79" s="1157">
        <v>300000000</v>
      </c>
      <c r="J79" s="21"/>
      <c r="K79" s="22"/>
      <c r="L79" s="22"/>
      <c r="M79" s="22"/>
      <c r="N79" s="28" t="s">
        <v>28</v>
      </c>
      <c r="O79" s="21" t="s">
        <v>29</v>
      </c>
      <c r="P79" s="37">
        <v>50000000</v>
      </c>
      <c r="Q79" s="39">
        <v>49161243</v>
      </c>
    </row>
    <row r="80" spans="1:17" ht="24" x14ac:dyDescent="0.25">
      <c r="A80" s="1160"/>
      <c r="B80" s="1160"/>
      <c r="C80" s="1160"/>
      <c r="D80" s="1160"/>
      <c r="E80" s="1160"/>
      <c r="F80" s="1160"/>
      <c r="G80" s="1160"/>
      <c r="H80" s="1155"/>
      <c r="I80" s="1158"/>
      <c r="J80" s="22"/>
      <c r="K80" s="22"/>
      <c r="L80" s="22"/>
      <c r="M80" s="22"/>
      <c r="N80" s="28" t="s">
        <v>44</v>
      </c>
      <c r="O80" s="21" t="s">
        <v>45</v>
      </c>
      <c r="P80" s="37">
        <v>50000000</v>
      </c>
      <c r="Q80" s="37">
        <v>12446131</v>
      </c>
    </row>
    <row r="81" spans="1:17" ht="36" x14ac:dyDescent="0.25">
      <c r="A81" s="1153"/>
      <c r="B81" s="1153"/>
      <c r="C81" s="1153"/>
      <c r="D81" s="1153"/>
      <c r="E81" s="1153"/>
      <c r="F81" s="1153"/>
      <c r="G81" s="1153"/>
      <c r="H81" s="1156"/>
      <c r="I81" s="1149"/>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52">
        <v>76</v>
      </c>
      <c r="B83" s="1152" t="s">
        <v>591</v>
      </c>
      <c r="C83" s="1152" t="s">
        <v>592</v>
      </c>
      <c r="D83" s="1152" t="s">
        <v>593</v>
      </c>
      <c r="E83" s="1152" t="s">
        <v>594</v>
      </c>
      <c r="F83" s="1152" t="s">
        <v>599</v>
      </c>
      <c r="G83" s="1152" t="s">
        <v>652</v>
      </c>
      <c r="H83" s="1154">
        <v>1600000000</v>
      </c>
      <c r="I83" s="1157">
        <v>1550000000</v>
      </c>
      <c r="J83" s="21" t="s">
        <v>600</v>
      </c>
      <c r="K83" s="21" t="s">
        <v>624</v>
      </c>
      <c r="L83" s="29">
        <v>22</v>
      </c>
      <c r="M83" s="29">
        <v>40</v>
      </c>
      <c r="N83" s="28" t="s">
        <v>306</v>
      </c>
      <c r="O83" s="21" t="s">
        <v>307</v>
      </c>
      <c r="P83" s="37">
        <v>50000000</v>
      </c>
      <c r="Q83" s="39">
        <v>51057988</v>
      </c>
    </row>
    <row r="84" spans="1:17" ht="24" x14ac:dyDescent="0.25">
      <c r="A84" s="1160"/>
      <c r="B84" s="1160"/>
      <c r="C84" s="1160"/>
      <c r="D84" s="1160"/>
      <c r="E84" s="1160"/>
      <c r="F84" s="1160"/>
      <c r="G84" s="1160"/>
      <c r="H84" s="1155"/>
      <c r="I84" s="1158"/>
      <c r="J84" s="22"/>
      <c r="K84" s="22"/>
      <c r="L84" s="22"/>
      <c r="M84" s="22"/>
      <c r="N84" s="28" t="s">
        <v>601</v>
      </c>
      <c r="O84" s="21" t="s">
        <v>602</v>
      </c>
      <c r="P84" s="29">
        <v>6</v>
      </c>
      <c r="Q84" s="29">
        <v>0</v>
      </c>
    </row>
    <row r="85" spans="1:17" ht="36" x14ac:dyDescent="0.25">
      <c r="A85" s="1160"/>
      <c r="B85" s="1160"/>
      <c r="C85" s="1160"/>
      <c r="D85" s="1160"/>
      <c r="E85" s="1160"/>
      <c r="F85" s="1160"/>
      <c r="G85" s="1160"/>
      <c r="H85" s="1155"/>
      <c r="I85" s="1158"/>
      <c r="J85" s="22"/>
      <c r="K85" s="22"/>
      <c r="L85" s="22"/>
      <c r="M85" s="22"/>
      <c r="N85" s="28" t="s">
        <v>260</v>
      </c>
      <c r="O85" s="21" t="s">
        <v>261</v>
      </c>
      <c r="P85" s="37">
        <v>50000000</v>
      </c>
      <c r="Q85" s="37">
        <v>23144268</v>
      </c>
    </row>
    <row r="86" spans="1:17" ht="24" x14ac:dyDescent="0.25">
      <c r="A86" s="1160"/>
      <c r="B86" s="1160"/>
      <c r="C86" s="1160"/>
      <c r="D86" s="1160"/>
      <c r="E86" s="1160"/>
      <c r="F86" s="1160"/>
      <c r="G86" s="1160"/>
      <c r="H86" s="1155"/>
      <c r="I86" s="1158"/>
      <c r="J86" s="22"/>
      <c r="K86" s="22"/>
      <c r="L86" s="22"/>
      <c r="M86" s="22"/>
      <c r="N86" s="28" t="s">
        <v>266</v>
      </c>
      <c r="O86" s="21" t="s">
        <v>267</v>
      </c>
      <c r="P86" s="37">
        <v>50000000</v>
      </c>
      <c r="Q86" s="37">
        <v>11264096</v>
      </c>
    </row>
    <row r="87" spans="1:17" ht="24" x14ac:dyDescent="0.25">
      <c r="A87" s="1160"/>
      <c r="B87" s="1160"/>
      <c r="C87" s="1160"/>
      <c r="D87" s="1160"/>
      <c r="E87" s="1160"/>
      <c r="F87" s="1160"/>
      <c r="G87" s="1160"/>
      <c r="H87" s="1155"/>
      <c r="I87" s="1158"/>
      <c r="J87" s="22"/>
      <c r="K87" s="22"/>
      <c r="L87" s="22"/>
      <c r="M87" s="22"/>
      <c r="N87" s="28" t="s">
        <v>603</v>
      </c>
      <c r="O87" s="21" t="s">
        <v>604</v>
      </c>
      <c r="P87" s="29">
        <v>1</v>
      </c>
      <c r="Q87" s="29">
        <v>0</v>
      </c>
    </row>
    <row r="88" spans="1:17" ht="24" x14ac:dyDescent="0.25">
      <c r="A88" s="1160"/>
      <c r="B88" s="1160"/>
      <c r="C88" s="1160"/>
      <c r="D88" s="1160"/>
      <c r="E88" s="1160"/>
      <c r="F88" s="1160"/>
      <c r="G88" s="1160"/>
      <c r="H88" s="1155"/>
      <c r="I88" s="1158"/>
      <c r="J88" s="22"/>
      <c r="K88" s="22"/>
      <c r="L88" s="22"/>
      <c r="M88" s="22"/>
      <c r="N88" s="28" t="s">
        <v>275</v>
      </c>
      <c r="O88" s="21" t="s">
        <v>276</v>
      </c>
      <c r="P88" s="37">
        <v>50000000</v>
      </c>
      <c r="Q88" s="39">
        <v>54178296</v>
      </c>
    </row>
    <row r="89" spans="1:17" ht="36" x14ac:dyDescent="0.25">
      <c r="A89" s="1160"/>
      <c r="B89" s="1160"/>
      <c r="C89" s="1160"/>
      <c r="D89" s="1160"/>
      <c r="E89" s="1160"/>
      <c r="F89" s="1160"/>
      <c r="G89" s="1160"/>
      <c r="H89" s="1155"/>
      <c r="I89" s="1158"/>
      <c r="J89" s="22"/>
      <c r="K89" s="22"/>
      <c r="L89" s="22"/>
      <c r="M89" s="22"/>
      <c r="N89" s="28" t="s">
        <v>268</v>
      </c>
      <c r="O89" s="21" t="s">
        <v>269</v>
      </c>
      <c r="P89" s="37">
        <v>50000000</v>
      </c>
      <c r="Q89" s="37">
        <v>33575242</v>
      </c>
    </row>
    <row r="90" spans="1:17" ht="36" x14ac:dyDescent="0.25">
      <c r="A90" s="1160"/>
      <c r="B90" s="1160"/>
      <c r="C90" s="1160"/>
      <c r="D90" s="1160"/>
      <c r="E90" s="1160"/>
      <c r="F90" s="1160"/>
      <c r="G90" s="1160"/>
      <c r="H90" s="1155"/>
      <c r="I90" s="1158"/>
      <c r="J90" s="22"/>
      <c r="K90" s="22"/>
      <c r="L90" s="22"/>
      <c r="M90" s="22"/>
      <c r="N90" s="28" t="s">
        <v>292</v>
      </c>
      <c r="O90" s="21" t="s">
        <v>293</v>
      </c>
      <c r="P90" s="37">
        <v>50000000</v>
      </c>
      <c r="Q90" s="39">
        <v>52744619</v>
      </c>
    </row>
    <row r="91" spans="1:17" ht="24" x14ac:dyDescent="0.25">
      <c r="A91" s="1160"/>
      <c r="B91" s="1160"/>
      <c r="C91" s="1160"/>
      <c r="D91" s="1160"/>
      <c r="E91" s="1160"/>
      <c r="F91" s="1160"/>
      <c r="G91" s="1160"/>
      <c r="H91" s="1155"/>
      <c r="I91" s="1158"/>
      <c r="J91" s="22"/>
      <c r="K91" s="22"/>
      <c r="L91" s="22"/>
      <c r="M91" s="22"/>
      <c r="N91" s="28" t="s">
        <v>264</v>
      </c>
      <c r="O91" s="21" t="s">
        <v>265</v>
      </c>
      <c r="P91" s="37">
        <v>50000000</v>
      </c>
      <c r="Q91" s="37">
        <v>20449530</v>
      </c>
    </row>
    <row r="92" spans="1:17" ht="24" x14ac:dyDescent="0.25">
      <c r="A92" s="1160"/>
      <c r="B92" s="1160"/>
      <c r="C92" s="1160"/>
      <c r="D92" s="1160"/>
      <c r="E92" s="1160"/>
      <c r="F92" s="1160"/>
      <c r="G92" s="1160"/>
      <c r="H92" s="1155"/>
      <c r="I92" s="1158"/>
      <c r="J92" s="22"/>
      <c r="K92" s="22"/>
      <c r="L92" s="22"/>
      <c r="M92" s="22"/>
      <c r="N92" s="28" t="s">
        <v>605</v>
      </c>
      <c r="O92" s="21" t="s">
        <v>606</v>
      </c>
      <c r="P92" s="29">
        <v>1</v>
      </c>
      <c r="Q92" s="29">
        <v>0</v>
      </c>
    </row>
    <row r="93" spans="1:17" ht="24" x14ac:dyDescent="0.25">
      <c r="A93" s="1160"/>
      <c r="B93" s="1160"/>
      <c r="C93" s="1160"/>
      <c r="D93" s="1160"/>
      <c r="E93" s="1160"/>
      <c r="F93" s="1160"/>
      <c r="G93" s="1160"/>
      <c r="H93" s="1155"/>
      <c r="I93" s="1158"/>
      <c r="J93" s="22"/>
      <c r="K93" s="22"/>
      <c r="L93" s="22"/>
      <c r="M93" s="22"/>
      <c r="N93" s="28" t="s">
        <v>282</v>
      </c>
      <c r="O93" s="21" t="s">
        <v>283</v>
      </c>
      <c r="P93" s="37">
        <v>50000000</v>
      </c>
      <c r="Q93" s="37">
        <v>9818732</v>
      </c>
    </row>
    <row r="94" spans="1:17" ht="24" x14ac:dyDescent="0.25">
      <c r="A94" s="1160"/>
      <c r="B94" s="1160"/>
      <c r="C94" s="1160"/>
      <c r="D94" s="1160"/>
      <c r="E94" s="1160"/>
      <c r="F94" s="1160"/>
      <c r="G94" s="1160"/>
      <c r="H94" s="1155"/>
      <c r="I94" s="1158"/>
      <c r="J94" s="22"/>
      <c r="K94" s="22"/>
      <c r="L94" s="22"/>
      <c r="M94" s="22"/>
      <c r="N94" s="28" t="s">
        <v>130</v>
      </c>
      <c r="O94" s="21" t="s">
        <v>131</v>
      </c>
      <c r="P94" s="37">
        <v>50000000</v>
      </c>
      <c r="Q94" s="39">
        <v>101761264</v>
      </c>
    </row>
    <row r="95" spans="1:17" ht="36" x14ac:dyDescent="0.25">
      <c r="A95" s="1160"/>
      <c r="B95" s="1160"/>
      <c r="C95" s="1160"/>
      <c r="D95" s="1160"/>
      <c r="E95" s="1160"/>
      <c r="F95" s="1160"/>
      <c r="G95" s="1160"/>
      <c r="H95" s="1155"/>
      <c r="I95" s="1158"/>
      <c r="J95" s="22"/>
      <c r="K95" s="22"/>
      <c r="L95" s="22"/>
      <c r="M95" s="22"/>
      <c r="N95" s="28" t="s">
        <v>256</v>
      </c>
      <c r="O95" s="21" t="s">
        <v>257</v>
      </c>
      <c r="P95" s="37">
        <v>50000000</v>
      </c>
      <c r="Q95" s="39">
        <v>77533411</v>
      </c>
    </row>
    <row r="96" spans="1:17" ht="36" x14ac:dyDescent="0.25">
      <c r="A96" s="1160"/>
      <c r="B96" s="1160"/>
      <c r="C96" s="1160"/>
      <c r="D96" s="1160"/>
      <c r="E96" s="1160"/>
      <c r="F96" s="1160"/>
      <c r="G96" s="1160"/>
      <c r="H96" s="1155"/>
      <c r="I96" s="1158"/>
      <c r="J96" s="22"/>
      <c r="K96" s="22"/>
      <c r="L96" s="22"/>
      <c r="M96" s="22"/>
      <c r="N96" s="28" t="s">
        <v>84</v>
      </c>
      <c r="O96" s="21" t="s">
        <v>85</v>
      </c>
      <c r="P96" s="37">
        <v>50000000</v>
      </c>
      <c r="Q96" s="37">
        <v>12600707</v>
      </c>
    </row>
    <row r="97" spans="1:17" ht="24" x14ac:dyDescent="0.25">
      <c r="A97" s="1160"/>
      <c r="B97" s="1160"/>
      <c r="C97" s="1160"/>
      <c r="D97" s="1160"/>
      <c r="E97" s="1160"/>
      <c r="F97" s="1160"/>
      <c r="G97" s="1160"/>
      <c r="H97" s="1155"/>
      <c r="I97" s="1158"/>
      <c r="J97" s="22"/>
      <c r="K97" s="22"/>
      <c r="L97" s="22"/>
      <c r="M97" s="22"/>
      <c r="N97" s="28" t="s">
        <v>159</v>
      </c>
      <c r="O97" s="21" t="s">
        <v>160</v>
      </c>
      <c r="P97" s="37">
        <v>50000000</v>
      </c>
      <c r="Q97" s="39">
        <v>420343379</v>
      </c>
    </row>
    <row r="98" spans="1:17" ht="24" x14ac:dyDescent="0.25">
      <c r="A98" s="1160"/>
      <c r="B98" s="1160"/>
      <c r="C98" s="1160"/>
      <c r="D98" s="1160"/>
      <c r="E98" s="1160"/>
      <c r="F98" s="1160"/>
      <c r="G98" s="1160"/>
      <c r="H98" s="1155"/>
      <c r="I98" s="1158"/>
      <c r="J98" s="22"/>
      <c r="K98" s="22"/>
      <c r="L98" s="22"/>
      <c r="M98" s="22"/>
      <c r="N98" s="28" t="s">
        <v>607</v>
      </c>
      <c r="O98" s="21" t="s">
        <v>608</v>
      </c>
      <c r="P98" s="29">
        <v>2</v>
      </c>
      <c r="Q98" s="29">
        <v>0</v>
      </c>
    </row>
    <row r="99" spans="1:17" ht="24" x14ac:dyDescent="0.25">
      <c r="A99" s="1160"/>
      <c r="B99" s="1160"/>
      <c r="C99" s="1160"/>
      <c r="D99" s="1160"/>
      <c r="E99" s="1160"/>
      <c r="F99" s="1160"/>
      <c r="G99" s="1160"/>
      <c r="H99" s="1155"/>
      <c r="I99" s="1158"/>
      <c r="J99" s="22"/>
      <c r="K99" s="22"/>
      <c r="L99" s="22"/>
      <c r="M99" s="22"/>
      <c r="N99" s="28" t="s">
        <v>270</v>
      </c>
      <c r="O99" s="21" t="s">
        <v>271</v>
      </c>
      <c r="P99" s="37">
        <v>50000000</v>
      </c>
      <c r="Q99" s="39">
        <v>85682517</v>
      </c>
    </row>
    <row r="100" spans="1:17" ht="36" x14ac:dyDescent="0.25">
      <c r="A100" s="1160"/>
      <c r="B100" s="1160"/>
      <c r="C100" s="1160"/>
      <c r="D100" s="1160"/>
      <c r="E100" s="1160"/>
      <c r="F100" s="1160"/>
      <c r="G100" s="1160"/>
      <c r="H100" s="1155"/>
      <c r="I100" s="1158"/>
      <c r="J100" s="22"/>
      <c r="K100" s="22"/>
      <c r="L100" s="22"/>
      <c r="M100" s="22"/>
      <c r="N100" s="28" t="s">
        <v>149</v>
      </c>
      <c r="O100" s="21" t="s">
        <v>150</v>
      </c>
      <c r="P100" s="37">
        <v>50000000</v>
      </c>
      <c r="Q100" s="39">
        <v>149733000</v>
      </c>
    </row>
    <row r="101" spans="1:17" ht="24" x14ac:dyDescent="0.25">
      <c r="A101" s="1160"/>
      <c r="B101" s="1160"/>
      <c r="C101" s="1160"/>
      <c r="D101" s="1160"/>
      <c r="E101" s="1160"/>
      <c r="F101" s="1160"/>
      <c r="G101" s="1160"/>
      <c r="H101" s="1155"/>
      <c r="I101" s="1158"/>
      <c r="J101" s="22"/>
      <c r="K101" s="22"/>
      <c r="L101" s="22"/>
      <c r="M101" s="22"/>
      <c r="N101" s="28" t="s">
        <v>262</v>
      </c>
      <c r="O101" s="21" t="s">
        <v>263</v>
      </c>
      <c r="P101" s="37">
        <v>50000000</v>
      </c>
      <c r="Q101" s="37">
        <v>37472000</v>
      </c>
    </row>
    <row r="102" spans="1:17" ht="24" x14ac:dyDescent="0.25">
      <c r="A102" s="1160"/>
      <c r="B102" s="1160"/>
      <c r="C102" s="1160"/>
      <c r="D102" s="1160"/>
      <c r="E102" s="1160"/>
      <c r="F102" s="1160"/>
      <c r="G102" s="1160"/>
      <c r="H102" s="1155"/>
      <c r="I102" s="1158"/>
      <c r="J102" s="22"/>
      <c r="K102" s="22"/>
      <c r="L102" s="22"/>
      <c r="M102" s="22"/>
      <c r="N102" s="28" t="s">
        <v>301</v>
      </c>
      <c r="O102" s="21" t="s">
        <v>302</v>
      </c>
      <c r="P102" s="37">
        <v>50000000</v>
      </c>
      <c r="Q102" s="37">
        <v>56360835</v>
      </c>
    </row>
    <row r="103" spans="1:17" ht="24" x14ac:dyDescent="0.25">
      <c r="A103" s="1160"/>
      <c r="B103" s="1160"/>
      <c r="C103" s="1160"/>
      <c r="D103" s="1160"/>
      <c r="E103" s="1160"/>
      <c r="F103" s="1160"/>
      <c r="G103" s="1160"/>
      <c r="H103" s="1155"/>
      <c r="I103" s="1158"/>
      <c r="J103" s="22"/>
      <c r="K103" s="22"/>
      <c r="L103" s="22"/>
      <c r="M103" s="22"/>
      <c r="N103" s="28" t="s">
        <v>272</v>
      </c>
      <c r="O103" s="21" t="s">
        <v>273</v>
      </c>
      <c r="P103" s="37">
        <v>50000000</v>
      </c>
      <c r="Q103" s="39">
        <v>428411169</v>
      </c>
    </row>
    <row r="104" spans="1:17" ht="24" x14ac:dyDescent="0.25">
      <c r="A104" s="1160"/>
      <c r="B104" s="1160"/>
      <c r="C104" s="1160"/>
      <c r="D104" s="1160"/>
      <c r="E104" s="1160"/>
      <c r="F104" s="1160"/>
      <c r="G104" s="1160"/>
      <c r="H104" s="1155"/>
      <c r="I104" s="1158"/>
      <c r="J104" s="22"/>
      <c r="K104" s="22"/>
      <c r="L104" s="22"/>
      <c r="M104" s="22"/>
      <c r="N104" s="28" t="s">
        <v>303</v>
      </c>
      <c r="O104" s="21" t="s">
        <v>304</v>
      </c>
      <c r="P104" s="37">
        <v>50000000</v>
      </c>
      <c r="Q104" s="37">
        <v>41003350</v>
      </c>
    </row>
    <row r="105" spans="1:17" ht="24" x14ac:dyDescent="0.25">
      <c r="A105" s="1160"/>
      <c r="B105" s="1160"/>
      <c r="C105" s="1160"/>
      <c r="D105" s="1160"/>
      <c r="E105" s="1160"/>
      <c r="F105" s="1160"/>
      <c r="G105" s="1160"/>
      <c r="H105" s="1155"/>
      <c r="I105" s="1158"/>
      <c r="J105" s="22"/>
      <c r="K105" s="22"/>
      <c r="L105" s="22"/>
      <c r="M105" s="22"/>
      <c r="N105" s="28" t="s">
        <v>252</v>
      </c>
      <c r="O105" s="21" t="s">
        <v>253</v>
      </c>
      <c r="P105" s="37">
        <v>50000000</v>
      </c>
      <c r="Q105" s="37">
        <v>26950098</v>
      </c>
    </row>
    <row r="106" spans="1:17" ht="36" x14ac:dyDescent="0.25">
      <c r="A106" s="1160"/>
      <c r="B106" s="1160"/>
      <c r="C106" s="1160"/>
      <c r="D106" s="1160"/>
      <c r="E106" s="1160"/>
      <c r="F106" s="1160"/>
      <c r="G106" s="1160"/>
      <c r="H106" s="1155"/>
      <c r="I106" s="1158"/>
      <c r="J106" s="22"/>
      <c r="K106" s="22"/>
      <c r="L106" s="22"/>
      <c r="M106" s="22"/>
      <c r="N106" s="28" t="s">
        <v>287</v>
      </c>
      <c r="O106" s="21" t="s">
        <v>288</v>
      </c>
      <c r="P106" s="37">
        <v>50000000</v>
      </c>
      <c r="Q106" s="37">
        <v>18954757</v>
      </c>
    </row>
    <row r="107" spans="1:17" ht="24" x14ac:dyDescent="0.25">
      <c r="A107" s="1160"/>
      <c r="B107" s="1160"/>
      <c r="C107" s="1160"/>
      <c r="D107" s="1160"/>
      <c r="E107" s="1160"/>
      <c r="F107" s="1160"/>
      <c r="G107" s="1160"/>
      <c r="H107" s="1155"/>
      <c r="I107" s="1158"/>
      <c r="J107" s="22"/>
      <c r="K107" s="22"/>
      <c r="L107" s="22"/>
      <c r="M107" s="22"/>
      <c r="N107" s="28" t="s">
        <v>297</v>
      </c>
      <c r="O107" s="21" t="s">
        <v>298</v>
      </c>
      <c r="P107" s="37">
        <v>50000000</v>
      </c>
      <c r="Q107" s="37">
        <v>19839939</v>
      </c>
    </row>
    <row r="108" spans="1:17" ht="24" x14ac:dyDescent="0.25">
      <c r="A108" s="1160"/>
      <c r="B108" s="1160"/>
      <c r="C108" s="1160"/>
      <c r="D108" s="1160"/>
      <c r="E108" s="1160"/>
      <c r="F108" s="1160"/>
      <c r="G108" s="1160"/>
      <c r="H108" s="1155"/>
      <c r="I108" s="1158"/>
      <c r="J108" s="22"/>
      <c r="K108" s="22"/>
      <c r="L108" s="22"/>
      <c r="M108" s="22"/>
      <c r="N108" s="28" t="s">
        <v>183</v>
      </c>
      <c r="O108" s="21" t="s">
        <v>184</v>
      </c>
      <c r="P108" s="37">
        <v>50000000</v>
      </c>
      <c r="Q108" s="39">
        <v>154606753</v>
      </c>
    </row>
    <row r="109" spans="1:17" ht="24" x14ac:dyDescent="0.25">
      <c r="A109" s="1160"/>
      <c r="B109" s="1160"/>
      <c r="C109" s="1160"/>
      <c r="D109" s="1160"/>
      <c r="E109" s="1160"/>
      <c r="F109" s="1160"/>
      <c r="G109" s="1160"/>
      <c r="H109" s="1155"/>
      <c r="I109" s="1158"/>
      <c r="J109" s="22"/>
      <c r="K109" s="22"/>
      <c r="L109" s="22"/>
      <c r="M109" s="22"/>
      <c r="N109" s="28" t="s">
        <v>254</v>
      </c>
      <c r="O109" s="21" t="s">
        <v>255</v>
      </c>
      <c r="P109" s="37">
        <v>50000000</v>
      </c>
      <c r="Q109" s="37">
        <v>40799973</v>
      </c>
    </row>
    <row r="110" spans="1:17" ht="36" x14ac:dyDescent="0.25">
      <c r="A110" s="1160"/>
      <c r="B110" s="1160"/>
      <c r="C110" s="1160"/>
      <c r="D110" s="1160"/>
      <c r="E110" s="1160"/>
      <c r="F110" s="1160"/>
      <c r="G110" s="1160"/>
      <c r="H110" s="1155"/>
      <c r="I110" s="1158"/>
      <c r="J110" s="22"/>
      <c r="K110" s="22"/>
      <c r="L110" s="22"/>
      <c r="M110" s="22"/>
      <c r="N110" s="28" t="s">
        <v>82</v>
      </c>
      <c r="O110" s="21" t="s">
        <v>83</v>
      </c>
      <c r="P110" s="37">
        <v>50000000</v>
      </c>
      <c r="Q110" s="37">
        <v>17014285</v>
      </c>
    </row>
    <row r="111" spans="1:17" ht="36" x14ac:dyDescent="0.25">
      <c r="A111" s="1160"/>
      <c r="B111" s="1160"/>
      <c r="C111" s="1160"/>
      <c r="D111" s="1160"/>
      <c r="E111" s="1160"/>
      <c r="F111" s="1160"/>
      <c r="G111" s="1160"/>
      <c r="H111" s="1155"/>
      <c r="I111" s="1158"/>
      <c r="J111" s="22"/>
      <c r="K111" s="22"/>
      <c r="L111" s="22"/>
      <c r="M111" s="22"/>
      <c r="N111" s="28" t="s">
        <v>258</v>
      </c>
      <c r="O111" s="21" t="s">
        <v>259</v>
      </c>
      <c r="P111" s="37">
        <v>50000000</v>
      </c>
      <c r="Q111" s="37">
        <v>74218555</v>
      </c>
    </row>
    <row r="112" spans="1:17" ht="24" x14ac:dyDescent="0.25">
      <c r="A112" s="1160"/>
      <c r="B112" s="1160"/>
      <c r="C112" s="1160"/>
      <c r="D112" s="1160"/>
      <c r="E112" s="1160"/>
      <c r="F112" s="1160"/>
      <c r="G112" s="1160"/>
      <c r="H112" s="1155"/>
      <c r="I112" s="1158"/>
      <c r="J112" s="22"/>
      <c r="K112" s="22"/>
      <c r="L112" s="22"/>
      <c r="M112" s="22"/>
      <c r="N112" s="28" t="s">
        <v>609</v>
      </c>
      <c r="O112" s="21" t="s">
        <v>610</v>
      </c>
      <c r="P112" s="29">
        <v>1</v>
      </c>
      <c r="Q112" s="29">
        <v>0</v>
      </c>
    </row>
    <row r="113" spans="1:17" ht="24" x14ac:dyDescent="0.25">
      <c r="A113" s="1160"/>
      <c r="B113" s="1160"/>
      <c r="C113" s="1160"/>
      <c r="D113" s="1160"/>
      <c r="E113" s="1160"/>
      <c r="F113" s="1160"/>
      <c r="G113" s="1160"/>
      <c r="H113" s="1155"/>
      <c r="I113" s="1158"/>
      <c r="J113" s="22"/>
      <c r="K113" s="22"/>
      <c r="L113" s="22"/>
      <c r="M113" s="22"/>
      <c r="N113" s="28" t="s">
        <v>248</v>
      </c>
      <c r="O113" s="21" t="s">
        <v>249</v>
      </c>
      <c r="P113" s="37">
        <v>50000000</v>
      </c>
      <c r="Q113" s="37">
        <v>49804424</v>
      </c>
    </row>
    <row r="114" spans="1:17" ht="36" x14ac:dyDescent="0.25">
      <c r="A114" s="1160"/>
      <c r="B114" s="1160"/>
      <c r="C114" s="1160"/>
      <c r="D114" s="1160"/>
      <c r="E114" s="1160"/>
      <c r="F114" s="1160"/>
      <c r="G114" s="1160"/>
      <c r="H114" s="1155"/>
      <c r="I114" s="1158"/>
      <c r="J114" s="22"/>
      <c r="K114" s="22"/>
      <c r="L114" s="22"/>
      <c r="M114" s="22"/>
      <c r="N114" s="28" t="s">
        <v>310</v>
      </c>
      <c r="O114" s="21" t="s">
        <v>311</v>
      </c>
      <c r="P114" s="37">
        <v>50000000</v>
      </c>
      <c r="Q114" s="37">
        <v>33695148</v>
      </c>
    </row>
    <row r="115" spans="1:17" ht="36" x14ac:dyDescent="0.25">
      <c r="A115" s="1160"/>
      <c r="B115" s="1160"/>
      <c r="C115" s="1160"/>
      <c r="D115" s="1160"/>
      <c r="E115" s="1160"/>
      <c r="F115" s="1160"/>
      <c r="G115" s="1160"/>
      <c r="H115" s="1155"/>
      <c r="I115" s="1158"/>
      <c r="J115" s="22"/>
      <c r="K115" s="22"/>
      <c r="L115" s="22"/>
      <c r="M115" s="22"/>
      <c r="N115" s="28" t="s">
        <v>137</v>
      </c>
      <c r="O115" s="21" t="s">
        <v>138</v>
      </c>
      <c r="P115" s="37">
        <v>50000000</v>
      </c>
      <c r="Q115" s="39">
        <v>313301535</v>
      </c>
    </row>
    <row r="116" spans="1:17" ht="24" x14ac:dyDescent="0.25">
      <c r="A116" s="1160"/>
      <c r="B116" s="1160"/>
      <c r="C116" s="1160"/>
      <c r="D116" s="1160"/>
      <c r="E116" s="1160"/>
      <c r="F116" s="1160"/>
      <c r="G116" s="1160"/>
      <c r="H116" s="1155"/>
      <c r="I116" s="1158"/>
      <c r="J116" s="22"/>
      <c r="K116" s="22"/>
      <c r="L116" s="22"/>
      <c r="M116" s="22"/>
      <c r="N116" s="28" t="s">
        <v>279</v>
      </c>
      <c r="O116" s="21" t="s">
        <v>280</v>
      </c>
      <c r="P116" s="37">
        <v>50000000</v>
      </c>
      <c r="Q116" s="37">
        <v>10925327</v>
      </c>
    </row>
    <row r="117" spans="1:17" ht="24" x14ac:dyDescent="0.25">
      <c r="A117" s="1160"/>
      <c r="B117" s="1160"/>
      <c r="C117" s="1160"/>
      <c r="D117" s="1160"/>
      <c r="E117" s="1160"/>
      <c r="F117" s="1160"/>
      <c r="G117" s="1160"/>
      <c r="H117" s="1155"/>
      <c r="I117" s="1158"/>
      <c r="J117" s="22"/>
      <c r="K117" s="22"/>
      <c r="L117" s="22"/>
      <c r="M117" s="22"/>
      <c r="N117" s="28" t="s">
        <v>175</v>
      </c>
      <c r="O117" s="21" t="s">
        <v>176</v>
      </c>
      <c r="P117" s="37">
        <v>50000000</v>
      </c>
      <c r="Q117" s="39">
        <v>178999305</v>
      </c>
    </row>
    <row r="118" spans="1:17" ht="36" x14ac:dyDescent="0.25">
      <c r="A118" s="1153"/>
      <c r="B118" s="1153"/>
      <c r="C118" s="1153"/>
      <c r="D118" s="1153"/>
      <c r="E118" s="1153"/>
      <c r="F118" s="1153"/>
      <c r="G118" s="1153"/>
      <c r="H118" s="1156"/>
      <c r="I118" s="1149"/>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52">
        <v>78</v>
      </c>
      <c r="B120" s="1152" t="s">
        <v>591</v>
      </c>
      <c r="C120" s="1152" t="s">
        <v>592</v>
      </c>
      <c r="D120" s="1152" t="s">
        <v>613</v>
      </c>
      <c r="E120" s="1152" t="s">
        <v>647</v>
      </c>
      <c r="F120" s="1152" t="s">
        <v>614</v>
      </c>
      <c r="G120" s="1152" t="s">
        <v>638</v>
      </c>
      <c r="H120" s="1159">
        <v>0</v>
      </c>
      <c r="I120" s="1157">
        <v>50000000</v>
      </c>
      <c r="J120" s="21"/>
      <c r="K120" s="22"/>
      <c r="L120" s="22"/>
      <c r="M120" s="22"/>
      <c r="N120" s="28" t="s">
        <v>377</v>
      </c>
      <c r="O120" s="21" t="s">
        <v>378</v>
      </c>
      <c r="P120" s="37">
        <v>25000000</v>
      </c>
      <c r="Q120" s="39">
        <v>79698566</v>
      </c>
    </row>
    <row r="121" spans="1:17" ht="36" x14ac:dyDescent="0.25">
      <c r="A121" s="1153"/>
      <c r="B121" s="1153"/>
      <c r="C121" s="1153"/>
      <c r="D121" s="1153"/>
      <c r="E121" s="1153"/>
      <c r="F121" s="1153"/>
      <c r="G121" s="1153"/>
      <c r="H121" s="1156"/>
      <c r="I121" s="1149"/>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52"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53"/>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46" t="s">
        <v>622</v>
      </c>
      <c r="B127" s="1147"/>
      <c r="C127" s="1147"/>
      <c r="D127" s="1147"/>
      <c r="E127" s="1147"/>
      <c r="F127" s="1147"/>
      <c r="G127" s="1148"/>
      <c r="H127" s="35">
        <f>SUM(H6:H126)</f>
        <v>3211000000</v>
      </c>
      <c r="I127" s="35">
        <f>SUM(I6:I126)</f>
        <v>29672000000</v>
      </c>
      <c r="J127" s="1149"/>
      <c r="K127" s="1150"/>
      <c r="L127" s="1150"/>
      <c r="M127" s="1151"/>
      <c r="N127" s="31"/>
      <c r="O127" s="32"/>
      <c r="P127" s="35">
        <f>SUM(P6:P126)</f>
        <v>7280000221</v>
      </c>
      <c r="Q127" s="35">
        <f>SUM(Q6:Q126)</f>
        <v>13123188897</v>
      </c>
    </row>
  </sheetData>
  <mergeCells count="41">
    <mergeCell ref="F4:F5"/>
    <mergeCell ref="A4:A5"/>
    <mergeCell ref="B4:B5"/>
    <mergeCell ref="C4:C5"/>
    <mergeCell ref="D4:D5"/>
    <mergeCell ref="E4:E5"/>
    <mergeCell ref="G4:G5"/>
    <mergeCell ref="H4:H5"/>
    <mergeCell ref="I4:I5"/>
    <mergeCell ref="J4:M4"/>
    <mergeCell ref="N4:Q4"/>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72" t="s">
        <v>3472</v>
      </c>
      <c r="B1" s="1169" t="s">
        <v>3473</v>
      </c>
      <c r="C1" s="1169" t="str">
        <f>+'PLANINDICATIVO PD'!D1:D2</f>
        <v>PROGRAMA</v>
      </c>
      <c r="D1" s="1169" t="s">
        <v>590</v>
      </c>
      <c r="E1" s="1169" t="s">
        <v>3477</v>
      </c>
      <c r="F1" s="1169" t="s">
        <v>3479</v>
      </c>
    </row>
    <row r="2" spans="1:6" ht="24" customHeight="1" x14ac:dyDescent="0.2">
      <c r="A2" s="1173"/>
      <c r="B2" s="1170"/>
      <c r="C2" s="1170"/>
      <c r="D2" s="1170"/>
      <c r="E2" s="1170"/>
      <c r="F2" s="1171"/>
    </row>
    <row r="3" spans="1:6" ht="93.75" customHeight="1" x14ac:dyDescent="0.2">
      <c r="A3" s="1174" t="s">
        <v>3080</v>
      </c>
      <c r="B3" s="1177" t="s">
        <v>3482</v>
      </c>
      <c r="C3" s="1177"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75"/>
      <c r="B4" s="1181"/>
      <c r="C4" s="1181"/>
      <c r="D4" s="477" t="str">
        <f>+'PLANINDICATIVO PD'!I4</f>
        <v>ESTRUCTURACIÓN Y APROBACIÓN DE UN CÓDIGO DE BUEN GOBIERNO PARA UNA GESTIÓN EFICAZ Y TRANSPARENTE DE LA USCO</v>
      </c>
      <c r="E4" s="451" t="s">
        <v>3489</v>
      </c>
      <c r="F4" s="451" t="s">
        <v>3279</v>
      </c>
    </row>
    <row r="5" spans="1:6" ht="94.5" customHeight="1" x14ac:dyDescent="0.2">
      <c r="A5" s="1175"/>
      <c r="B5" s="1181"/>
      <c r="C5" s="1181"/>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74" t="s">
        <v>648</v>
      </c>
      <c r="B7" s="1174" t="s">
        <v>3656</v>
      </c>
      <c r="C7" s="1174"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75"/>
      <c r="B8" s="1175"/>
      <c r="C8" s="1175"/>
      <c r="D8" s="1174"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75"/>
      <c r="B9" s="1175"/>
      <c r="C9" s="1175"/>
      <c r="D9" s="1175"/>
      <c r="E9" s="475" t="str">
        <f>+'PLANINDICATIVO PD'!J10</f>
        <v>CONSOLIDAR LOS GRUPOS EXISTENTES Y APOYAR LA CREACIÓN DE NUEVOS GRUPOS</v>
      </c>
      <c r="F9" s="475" t="str">
        <f>+'PLANINDICATIVO PD'!L10</f>
        <v>NÚMERO DE GRUPOS DE PROYECCIÓN SOCIAL</v>
      </c>
    </row>
    <row r="10" spans="1:6" ht="60" x14ac:dyDescent="0.2">
      <c r="A10" s="1175"/>
      <c r="B10" s="1175"/>
      <c r="C10" s="1175"/>
      <c r="D10" s="1175"/>
      <c r="E10" s="475" t="str">
        <f>+'PLANINDICATIVO PD'!J11</f>
        <v>INCORPORAR EL SERVICIO SOCIAL EN 20 PROGRAMAS USCO</v>
      </c>
      <c r="F10" s="475" t="str">
        <f>+'PLANINDICATIVO PD'!L11</f>
        <v>NÚMERO DE  PROGRAMAS REFORMADOS</v>
      </c>
    </row>
    <row r="11" spans="1:6" ht="98.25" customHeight="1" x14ac:dyDescent="0.2">
      <c r="A11" s="1175"/>
      <c r="B11" s="1175"/>
      <c r="C11" s="1175"/>
      <c r="D11" s="1176"/>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80" t="s">
        <v>3162</v>
      </c>
      <c r="B13" s="1180" t="s">
        <v>3493</v>
      </c>
      <c r="C13" s="1180" t="str">
        <f>+'PLANINDICATIVO PD'!D15</f>
        <v>ACREDITACIÓN Y REACREDITACIÓN DE PROGRAMAS DE FORMACIÓN DE PREGRADO Y POSTGRADO</v>
      </c>
      <c r="D13" s="1174"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80"/>
      <c r="B14" s="1180"/>
      <c r="C14" s="1180"/>
      <c r="D14" s="1176"/>
      <c r="E14" s="472" t="str">
        <f>+'PLANINDICATIVO PD'!J16</f>
        <v>6 PROGRAMAS PREGRADO REACREDITADOS</v>
      </c>
      <c r="F14" s="472" t="str">
        <f>+'PLANINDICATIVO PD'!L16</f>
        <v>NÚMERO PROGRAMAS PREGRADO REACREDITADOS</v>
      </c>
    </row>
    <row r="15" spans="1:6" ht="62.25" customHeight="1" x14ac:dyDescent="0.2">
      <c r="A15" s="1180"/>
      <c r="B15" s="1180"/>
      <c r="C15" s="1180"/>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80"/>
      <c r="B16" s="1180"/>
      <c r="C16" s="1180"/>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80" t="s">
        <v>3162</v>
      </c>
      <c r="B17" s="1180" t="s">
        <v>3729</v>
      </c>
      <c r="C17" s="1174"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80"/>
      <c r="B18" s="1180"/>
      <c r="C18" s="1175"/>
      <c r="D18" s="1174"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80"/>
      <c r="B19" s="1180"/>
      <c r="C19" s="1175"/>
      <c r="D19" s="1175"/>
      <c r="E19" s="472" t="str">
        <f>+'PLANINDICATIVO PD'!J21</f>
        <v>AMPLIAR LA OFERTA ACADÉMICA EN 9  NUEVOS PROGRAMAS (PREGRADO Y POSTGRADO)</v>
      </c>
      <c r="F19" s="472" t="str">
        <f>+'PLANINDICATIVO PD'!L21</f>
        <v>NÚMERO DE  PROGRAMAS ACADÉMICOS OFRECIDOS POR USCO</v>
      </c>
    </row>
    <row r="20" spans="1:6" ht="84" customHeight="1" x14ac:dyDescent="0.2">
      <c r="A20" s="1180"/>
      <c r="B20" s="1180"/>
      <c r="C20" s="1175"/>
      <c r="D20" s="1176"/>
      <c r="E20" s="472" t="str">
        <f>+'PLANINDICATIVO PD'!J22</f>
        <v>7 FACULTADES CON DOCENTES ADSCRITOS Y READSCRITOS (PLANTA GLOBAL)</v>
      </c>
      <c r="F20" s="472" t="str">
        <f>+'PLANINDICATIVO PD'!L22</f>
        <v>NÚMERO DE FACULTADES CON ADSCRIPCIÓN/READSCRIPCIÓN DE DOCENTES</v>
      </c>
    </row>
    <row r="21" spans="1:6" ht="120" x14ac:dyDescent="0.2">
      <c r="A21" s="1180"/>
      <c r="B21" s="1180"/>
      <c r="C21" s="1175"/>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80"/>
      <c r="B22" s="1180"/>
      <c r="C22" s="1175"/>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80" t="s">
        <v>3162</v>
      </c>
      <c r="B23" s="1174" t="s">
        <v>3729</v>
      </c>
      <c r="C23" s="1180"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80"/>
      <c r="B24" s="1175"/>
      <c r="C24" s="1180"/>
      <c r="D24" s="1174"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80"/>
      <c r="B25" s="1175"/>
      <c r="C25" s="1180"/>
      <c r="D25" s="1175"/>
      <c r="E25" s="472" t="str">
        <f>+'PLANINDICATIVO PD'!J27</f>
        <v>AUMENTAR A 20 LOS JÓVENES INVESTIGADORES</v>
      </c>
      <c r="F25" s="472" t="str">
        <f>+'PLANINDICATIVO PD'!L27</f>
        <v>NÚMERO DE JÓVENES INVESTIGADORES EN USCO</v>
      </c>
    </row>
    <row r="26" spans="1:6" ht="45" x14ac:dyDescent="0.2">
      <c r="A26" s="1180"/>
      <c r="B26" s="1175"/>
      <c r="C26" s="1180"/>
      <c r="D26" s="1176"/>
      <c r="E26" s="472" t="str">
        <f>+'PLANINDICATIVO PD'!J28</f>
        <v>AMPLIAR A 34 LOS SEMILLEROS DE INVESTIGACIÓN</v>
      </c>
      <c r="F26" s="472" t="str">
        <f>+'PLANINDICATIVO PD'!L28</f>
        <v>NÚMERO DE SEMILLEROS DE INVESTIGACIÓN</v>
      </c>
    </row>
    <row r="27" spans="1:6" ht="135" x14ac:dyDescent="0.2">
      <c r="A27" s="1180"/>
      <c r="B27" s="1175"/>
      <c r="C27" s="1180"/>
      <c r="D27" s="1174"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80"/>
      <c r="B28" s="1175"/>
      <c r="C28" s="1180"/>
      <c r="D28" s="1176"/>
      <c r="E28" s="472" t="str">
        <f>+'PLANINDICATIVO PD'!J30</f>
        <v>PUBLICAR 13 LIBROS EN DESARROLLO DE LA EDITORIAL DE LA UNIVERSIDAD</v>
      </c>
      <c r="F28" s="472" t="str">
        <f>+'PLANINDICATIVO PD'!L30</f>
        <v xml:space="preserve">NÚMERO DE LIBROS PUBLICADOS </v>
      </c>
    </row>
    <row r="29" spans="1:6" ht="75" x14ac:dyDescent="0.2">
      <c r="A29" s="1180"/>
      <c r="B29" s="1175"/>
      <c r="C29" s="1180"/>
      <c r="D29" s="1174"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80"/>
      <c r="B30" s="1175"/>
      <c r="C30" s="1180"/>
      <c r="D30" s="1176"/>
      <c r="E30" s="472" t="str">
        <f>+'PLANINDICATIVO PD'!J32</f>
        <v>MANTENER FINANCIADOS 56 PROYECTOS DE INVESTIGACIÓN</v>
      </c>
      <c r="F30" s="472" t="str">
        <f>+'PLANINDICATIVO PD'!L32</f>
        <v>NÚMERO DE PROYECTOS DE INVESTIGACIÓN FINANCIADOS POR AÑO</v>
      </c>
    </row>
    <row r="31" spans="1:6" ht="60" x14ac:dyDescent="0.2">
      <c r="A31" s="1180"/>
      <c r="B31" s="1175"/>
      <c r="C31" s="1180"/>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80"/>
      <c r="B32" s="1175"/>
      <c r="C32" s="1180"/>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80"/>
      <c r="B33" s="1175"/>
      <c r="C33" s="1180"/>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74" t="s">
        <v>3162</v>
      </c>
      <c r="B34" s="1180" t="s">
        <v>3729</v>
      </c>
      <c r="C34" s="1175"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76"/>
      <c r="B35" s="1180"/>
      <c r="C35" s="1176"/>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74" t="s">
        <v>3526</v>
      </c>
      <c r="B37" s="1174" t="s">
        <v>3527</v>
      </c>
      <c r="C37" s="1174"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75"/>
      <c r="B38" s="1175"/>
      <c r="C38" s="1175"/>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75"/>
      <c r="B39" s="1175"/>
      <c r="C39" s="1175"/>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75"/>
      <c r="B40" s="1175"/>
      <c r="C40" s="1175"/>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75"/>
      <c r="B41" s="1175"/>
      <c r="C41" s="1175"/>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76"/>
      <c r="B42" s="1175"/>
      <c r="C42" s="1175"/>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74" t="s">
        <v>3112</v>
      </c>
      <c r="B44" s="1177" t="s">
        <v>3558</v>
      </c>
      <c r="C44" s="1180"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75"/>
      <c r="B45" s="1178"/>
      <c r="C45" s="1180"/>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76"/>
      <c r="B46" s="1179"/>
      <c r="C46" s="1180"/>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74" t="s">
        <v>3569</v>
      </c>
      <c r="B48" s="1174" t="s">
        <v>3570</v>
      </c>
      <c r="C48" s="1180"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75"/>
      <c r="B49" s="1175"/>
      <c r="C49" s="1180"/>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75"/>
      <c r="B50" s="1175"/>
      <c r="C50" s="1174" t="s">
        <v>3578</v>
      </c>
      <c r="D50" s="1174"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75"/>
      <c r="B51" s="1175"/>
      <c r="C51" s="1175"/>
      <c r="D51" s="1175"/>
      <c r="E51" s="475" t="str">
        <f>+'PLANINDICATIVO PD'!J56</f>
        <v xml:space="preserve">ELEVAR AL 60% LA TASA DE RETENCION </v>
      </c>
      <c r="F51" s="475" t="str">
        <f>+'PLANINDICATIVO PD'!L56</f>
        <v>TASA DE RETENCIÒN ESCOLAR SEMESTRAL</v>
      </c>
    </row>
    <row r="52" spans="1:6" ht="60" x14ac:dyDescent="0.2">
      <c r="A52" s="1175"/>
      <c r="B52" s="1175"/>
      <c r="C52" s="1175"/>
      <c r="D52" s="1175"/>
      <c r="E52" s="475" t="str">
        <f>+'PLANINDICATIVO PD'!J57</f>
        <v>AUMENTAR LA ATENCION MEDICA AL 85% DE ESTUDIANTES  PYP</v>
      </c>
      <c r="F52" s="475" t="str">
        <f>+'PLANINDICATIVO PD'!L57</f>
        <v>TASA DE COBERTURA DE ATENCION MÈDICA</v>
      </c>
    </row>
    <row r="53" spans="1:6" ht="60" x14ac:dyDescent="0.2">
      <c r="A53" s="1175"/>
      <c r="B53" s="1175"/>
      <c r="C53" s="1175"/>
      <c r="D53" s="1175"/>
      <c r="E53" s="475" t="str">
        <f>+'PLANINDICATIVO PD'!J58</f>
        <v xml:space="preserve">AUMENTAR SERVICIO ODONTOLÒGICO AL 60% DE ESTUDIANTES </v>
      </c>
      <c r="F53" s="475" t="str">
        <f>+'PLANINDICATIVO PD'!L58</f>
        <v>TASA DE COBERTURA DE ATENCION ODONTOLÒGICA</v>
      </c>
    </row>
    <row r="54" spans="1:6" ht="75" x14ac:dyDescent="0.2">
      <c r="A54" s="1175"/>
      <c r="B54" s="1175"/>
      <c r="C54" s="1175"/>
      <c r="D54" s="1175"/>
      <c r="E54" s="475" t="str">
        <f>+'PLANINDICATIVO PD'!J59</f>
        <v>AUMENTAR EL SERVICIO DE ATENCIÓN SICOLÒGICA AL 50% DEL PERSONAL</v>
      </c>
      <c r="F54" s="475" t="str">
        <f>+'PLANINDICATIVO PD'!L59</f>
        <v xml:space="preserve">TASA DE COBERTURA DE ATENCIÒN SICOLOGICA </v>
      </c>
    </row>
    <row r="55" spans="1:6" ht="75" x14ac:dyDescent="0.2">
      <c r="A55" s="1175" t="s">
        <v>3569</v>
      </c>
      <c r="B55" s="1175" t="s">
        <v>3570</v>
      </c>
      <c r="C55" s="1175" t="s">
        <v>3578</v>
      </c>
      <c r="D55" s="1176"/>
      <c r="E55" s="475" t="str">
        <f>+'PLANINDICATIVO PD'!J60</f>
        <v>APOYAR A 1000 ESTUDIANTES CON SERVICIO DE ALIMENTACIÒN</v>
      </c>
      <c r="F55" s="475" t="str">
        <f>+'PLANINDICATIVO PD'!L60</f>
        <v>NÚMERO DE ESTUDIANTES BENEFICIADOS CON ATENCIÒN ALIMENTARIA</v>
      </c>
    </row>
    <row r="56" spans="1:6" ht="105" x14ac:dyDescent="0.2">
      <c r="A56" s="1175"/>
      <c r="B56" s="1175"/>
      <c r="C56" s="1175"/>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75"/>
      <c r="B57" s="1175"/>
      <c r="C57" s="1175"/>
      <c r="D57" s="1180"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76"/>
      <c r="B58" s="1176"/>
      <c r="C58" s="1176"/>
      <c r="D58" s="1180"/>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80" t="s">
        <v>3598</v>
      </c>
      <c r="B60" s="1180" t="s">
        <v>3599</v>
      </c>
      <c r="C60" s="1180" t="s">
        <v>3674</v>
      </c>
      <c r="D60" s="1174"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80"/>
      <c r="B61" s="1180"/>
      <c r="C61" s="1180"/>
      <c r="D61" s="1176"/>
      <c r="E61" s="475" t="str">
        <f>+'PLANINDICATIVO PD'!J67</f>
        <v>IMPLEMENTAR UN SISTEMA DE INFORMACIÒN INTEGRAL</v>
      </c>
      <c r="F61" s="475" t="str">
        <f>+'PLANINDICATIVO PD'!L67</f>
        <v xml:space="preserve">PORCENTAJE DEL DISEÑO E IMPLEMENTACIÒN DEL SISTEMA </v>
      </c>
    </row>
    <row r="62" spans="1:6" ht="45" x14ac:dyDescent="0.2">
      <c r="A62" s="1180"/>
      <c r="B62" s="1180"/>
      <c r="C62" s="1180" t="s">
        <v>3698</v>
      </c>
      <c r="D62" s="1174"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80"/>
      <c r="B63" s="1180"/>
      <c r="C63" s="1180"/>
      <c r="D63" s="1175"/>
      <c r="E63" s="475" t="str">
        <f>+'PLANINDICATIVO PD'!J69</f>
        <v>IMPLEMENTAR UN PROYECTO DE EDUCACIÓN VIRTUAL PARA LA USCO</v>
      </c>
      <c r="F63" s="475" t="str">
        <f>+'PLANINDICATIVO PD'!L69</f>
        <v>LABORATORIO ADECUADO Y DOTADO</v>
      </c>
    </row>
    <row r="64" spans="1:6" ht="60" x14ac:dyDescent="0.2">
      <c r="A64" s="1180"/>
      <c r="B64" s="1180"/>
      <c r="C64" s="1180"/>
      <c r="D64" s="1176"/>
      <c r="E64" s="475" t="str">
        <f>+'PLANINDICATIVO PD'!J70</f>
        <v>DISEÑAR UN PROYECTO DE EDUCACIÒN VIRTUAL PARA LA USCO</v>
      </c>
      <c r="F64" s="475" t="str">
        <f>+'PLANINDICATIVO PD'!L70</f>
        <v>PORCENTAJE DEL DISEÑO E IMPLEMENTACIÒN DEL PROYECTO</v>
      </c>
    </row>
    <row r="65" spans="1:6" ht="135" x14ac:dyDescent="0.2">
      <c r="A65" s="1180"/>
      <c r="B65" s="1180"/>
      <c r="C65" s="1180"/>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 ref="D8:D11"/>
    <mergeCell ref="D18:D20"/>
    <mergeCell ref="C17:C22"/>
    <mergeCell ref="C37:C42"/>
    <mergeCell ref="A37:A42"/>
    <mergeCell ref="C13:C16"/>
    <mergeCell ref="C23:C33"/>
    <mergeCell ref="C34:C35"/>
    <mergeCell ref="B13:B16"/>
    <mergeCell ref="B17:B22"/>
    <mergeCell ref="A3:A5"/>
    <mergeCell ref="B3:B5"/>
    <mergeCell ref="C3:C5"/>
    <mergeCell ref="A7:A11"/>
    <mergeCell ref="B7:B11"/>
    <mergeCell ref="C7:C11"/>
    <mergeCell ref="C50:C54"/>
    <mergeCell ref="A55:A58"/>
    <mergeCell ref="B55:B58"/>
    <mergeCell ref="C55:C58"/>
    <mergeCell ref="A48:A54"/>
    <mergeCell ref="B48:B54"/>
    <mergeCell ref="C48:C49"/>
    <mergeCell ref="A44:A46"/>
    <mergeCell ref="B44:B46"/>
    <mergeCell ref="C44:C46"/>
    <mergeCell ref="B37:B42"/>
    <mergeCell ref="B23:B33"/>
    <mergeCell ref="B34:B35"/>
    <mergeCell ref="E1:E2"/>
    <mergeCell ref="F1:F2"/>
    <mergeCell ref="A1:A2"/>
    <mergeCell ref="B1:B2"/>
    <mergeCell ref="C1:C2"/>
    <mergeCell ref="D1:D2"/>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90" t="s">
        <v>3338</v>
      </c>
      <c r="B1" s="1291"/>
      <c r="C1" s="1291"/>
      <c r="D1" s="1291"/>
      <c r="E1" s="1291"/>
      <c r="F1" s="1291"/>
      <c r="G1" s="1225" t="s">
        <v>3428</v>
      </c>
      <c r="H1" s="1220"/>
      <c r="I1" s="1220"/>
      <c r="J1" s="1226"/>
      <c r="K1" s="1219" t="s">
        <v>3427</v>
      </c>
      <c r="L1" s="1220"/>
      <c r="M1" s="1220"/>
      <c r="N1" s="1220"/>
      <c r="O1" s="1221"/>
      <c r="P1" s="1225" t="s">
        <v>3429</v>
      </c>
      <c r="Q1" s="1220"/>
      <c r="R1" s="1220"/>
      <c r="S1" s="1220"/>
      <c r="T1" s="1226"/>
      <c r="U1" s="314"/>
      <c r="V1" s="1219" t="s">
        <v>3339</v>
      </c>
      <c r="W1" s="1220"/>
      <c r="X1" s="1220"/>
      <c r="Y1" s="1220"/>
      <c r="Z1" s="1221"/>
      <c r="AA1" s="1222" t="s">
        <v>447</v>
      </c>
      <c r="AC1" s="1202" t="s">
        <v>3347</v>
      </c>
    </row>
    <row r="2" spans="1:29" ht="30.75" customHeight="1" x14ac:dyDescent="0.25">
      <c r="A2" s="1297" t="s">
        <v>3137</v>
      </c>
      <c r="B2" s="1298"/>
      <c r="C2" s="1297" t="s">
        <v>3283</v>
      </c>
      <c r="D2" s="1298"/>
      <c r="E2" s="1297" t="s">
        <v>3139</v>
      </c>
      <c r="F2" s="1301"/>
      <c r="G2" s="1231" t="s">
        <v>3414</v>
      </c>
      <c r="H2" s="1199" t="s">
        <v>3419</v>
      </c>
      <c r="I2" s="1199"/>
      <c r="J2" s="1199"/>
      <c r="K2" s="1201" t="s">
        <v>461</v>
      </c>
      <c r="L2" s="1201"/>
      <c r="M2" s="1201"/>
      <c r="N2" s="1217" t="s">
        <v>3421</v>
      </c>
      <c r="O2" s="1218"/>
      <c r="P2" s="1231" t="s">
        <v>3415</v>
      </c>
      <c r="Q2" s="1197" t="s">
        <v>3284</v>
      </c>
      <c r="R2" s="1199" t="s">
        <v>3420</v>
      </c>
      <c r="S2" s="1199"/>
      <c r="T2" s="1199"/>
      <c r="U2" s="1200"/>
      <c r="V2" s="1201" t="s">
        <v>461</v>
      </c>
      <c r="W2" s="1201"/>
      <c r="X2" s="1201"/>
      <c r="Y2" s="1217" t="s">
        <v>3421</v>
      </c>
      <c r="Z2" s="1218"/>
      <c r="AA2" s="1223"/>
      <c r="AB2" s="1205" t="s">
        <v>3320</v>
      </c>
      <c r="AC2" s="1203"/>
    </row>
    <row r="3" spans="1:29" x14ac:dyDescent="0.25">
      <c r="A3" s="1299"/>
      <c r="B3" s="1300"/>
      <c r="C3" s="1299"/>
      <c r="D3" s="1300"/>
      <c r="E3" s="1299"/>
      <c r="F3" s="1302"/>
      <c r="G3" s="1232"/>
      <c r="H3" s="301" t="s">
        <v>1</v>
      </c>
      <c r="I3" s="301" t="s">
        <v>458</v>
      </c>
      <c r="J3" s="301" t="s">
        <v>459</v>
      </c>
      <c r="K3" s="298" t="s">
        <v>1</v>
      </c>
      <c r="L3" s="298" t="s">
        <v>2</v>
      </c>
      <c r="M3" s="298" t="s">
        <v>460</v>
      </c>
      <c r="N3" s="269" t="s">
        <v>433</v>
      </c>
      <c r="O3" s="306" t="s">
        <v>3422</v>
      </c>
      <c r="P3" s="1232"/>
      <c r="Q3" s="1198"/>
      <c r="R3" s="301" t="s">
        <v>1</v>
      </c>
      <c r="S3" s="301" t="s">
        <v>458</v>
      </c>
      <c r="T3" s="301" t="s">
        <v>459</v>
      </c>
      <c r="U3" s="301" t="s">
        <v>460</v>
      </c>
      <c r="V3" s="298" t="s">
        <v>1</v>
      </c>
      <c r="W3" s="298" t="s">
        <v>2</v>
      </c>
      <c r="X3" s="298" t="s">
        <v>460</v>
      </c>
      <c r="Y3" s="269" t="s">
        <v>433</v>
      </c>
      <c r="Z3" s="306" t="s">
        <v>3422</v>
      </c>
      <c r="AA3" s="1224"/>
      <c r="AB3" s="1206"/>
      <c r="AC3" s="1204"/>
    </row>
    <row r="4" spans="1:29" ht="81.75" customHeight="1" x14ac:dyDescent="0.25">
      <c r="A4" s="1227" t="s">
        <v>3079</v>
      </c>
      <c r="B4" s="1227" t="s">
        <v>3080</v>
      </c>
      <c r="C4" s="1227" t="s">
        <v>3081</v>
      </c>
      <c r="D4" s="1227"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183"/>
      <c r="B5" s="1183"/>
      <c r="C5" s="1183"/>
      <c r="D5" s="1183"/>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183"/>
      <c r="B6" s="1183"/>
      <c r="C6" s="1183"/>
      <c r="D6" s="1183"/>
      <c r="E6" s="1227" t="s">
        <v>3091</v>
      </c>
      <c r="F6" s="1228" t="s">
        <v>3092</v>
      </c>
      <c r="G6" s="1207">
        <v>75000000</v>
      </c>
      <c r="H6" s="1213" t="s">
        <v>3093</v>
      </c>
      <c r="I6" s="1213" t="s">
        <v>3276</v>
      </c>
      <c r="J6" s="1214">
        <v>0.3</v>
      </c>
      <c r="K6" s="109" t="s">
        <v>156</v>
      </c>
      <c r="L6" s="154" t="s">
        <v>3196</v>
      </c>
      <c r="M6" s="158">
        <v>12500000</v>
      </c>
      <c r="N6" s="149">
        <v>12498800</v>
      </c>
      <c r="O6" s="308">
        <v>0.05</v>
      </c>
      <c r="P6" s="1207">
        <v>25000000</v>
      </c>
      <c r="Q6" s="1210">
        <v>25000000</v>
      </c>
      <c r="R6" s="1213" t="s">
        <v>3093</v>
      </c>
      <c r="S6" s="1213" t="s">
        <v>3276</v>
      </c>
      <c r="T6" s="1214">
        <v>0.2</v>
      </c>
      <c r="U6" s="128"/>
      <c r="V6" s="109" t="s">
        <v>156</v>
      </c>
      <c r="W6" s="154" t="s">
        <v>3196</v>
      </c>
      <c r="X6" s="158" t="e">
        <f>+#REF!</f>
        <v>#REF!</v>
      </c>
      <c r="Y6" s="149" t="e">
        <f>+#REF!</f>
        <v>#REF!</v>
      </c>
      <c r="Z6" s="309"/>
      <c r="AA6" s="277">
        <v>510</v>
      </c>
      <c r="AB6" s="157" t="e">
        <f>+#REF!-#REF!</f>
        <v>#REF!</v>
      </c>
      <c r="AC6" s="184" t="s">
        <v>3349</v>
      </c>
    </row>
    <row r="7" spans="1:29" ht="35.25" customHeight="1" x14ac:dyDescent="0.25">
      <c r="A7" s="1183"/>
      <c r="B7" s="1183"/>
      <c r="C7" s="1183"/>
      <c r="D7" s="1183"/>
      <c r="E7" s="1183"/>
      <c r="F7" s="1197"/>
      <c r="G7" s="1208"/>
      <c r="H7" s="1192"/>
      <c r="I7" s="1192"/>
      <c r="J7" s="1215"/>
      <c r="K7" s="111" t="s">
        <v>327</v>
      </c>
      <c r="L7" s="159" t="s">
        <v>3282</v>
      </c>
      <c r="M7" s="168">
        <v>5000000</v>
      </c>
      <c r="N7" s="149">
        <v>0</v>
      </c>
      <c r="O7" s="308">
        <v>0</v>
      </c>
      <c r="P7" s="1208"/>
      <c r="Q7" s="1211"/>
      <c r="R7" s="1192"/>
      <c r="S7" s="1192"/>
      <c r="T7" s="1215"/>
      <c r="U7" s="182"/>
      <c r="V7" s="111" t="s">
        <v>327</v>
      </c>
      <c r="W7" s="159" t="s">
        <v>3282</v>
      </c>
      <c r="X7" s="158" t="e">
        <f>+#REF!</f>
        <v>#REF!</v>
      </c>
      <c r="Y7" s="149" t="e">
        <f>+#REF!</f>
        <v>#REF!</v>
      </c>
      <c r="Z7" s="309"/>
      <c r="AA7" s="277">
        <v>510</v>
      </c>
      <c r="AB7" s="157" t="e">
        <f>+#REF!-#REF!</f>
        <v>#REF!</v>
      </c>
      <c r="AC7" s="184" t="s">
        <v>3348</v>
      </c>
    </row>
    <row r="8" spans="1:29" ht="28.5" customHeight="1" x14ac:dyDescent="0.25">
      <c r="A8" s="1183"/>
      <c r="B8" s="1183"/>
      <c r="C8" s="1183"/>
      <c r="D8" s="1183"/>
      <c r="E8" s="1183"/>
      <c r="F8" s="1197"/>
      <c r="G8" s="1209"/>
      <c r="H8" s="1193"/>
      <c r="I8" s="1193"/>
      <c r="J8" s="1216"/>
      <c r="K8" s="299" t="s">
        <v>389</v>
      </c>
      <c r="L8" s="171" t="s">
        <v>390</v>
      </c>
      <c r="M8" s="173">
        <v>57394998</v>
      </c>
      <c r="N8" s="149">
        <v>52393600</v>
      </c>
      <c r="O8" s="308">
        <v>1</v>
      </c>
      <c r="P8" s="1209"/>
      <c r="Q8" s="1212"/>
      <c r="R8" s="1193"/>
      <c r="S8" s="1193"/>
      <c r="T8" s="1216"/>
      <c r="U8" s="182"/>
      <c r="V8" s="299" t="s">
        <v>389</v>
      </c>
      <c r="W8" s="171" t="s">
        <v>390</v>
      </c>
      <c r="X8" s="173" t="e">
        <f>+#REF!</f>
        <v>#REF!</v>
      </c>
      <c r="Y8" s="149" t="e">
        <f>+#REF!</f>
        <v>#REF!</v>
      </c>
      <c r="Z8" s="309"/>
      <c r="AA8" s="278">
        <v>510</v>
      </c>
      <c r="AB8" s="232" t="e">
        <f>+#REF!-#REF!</f>
        <v>#REF!</v>
      </c>
      <c r="AC8" s="263" t="s">
        <v>3350</v>
      </c>
    </row>
    <row r="9" spans="1:29" ht="24.75" customHeight="1" thickBot="1" x14ac:dyDescent="0.3">
      <c r="A9" s="1194" t="s">
        <v>3405</v>
      </c>
      <c r="B9" s="1194"/>
      <c r="C9" s="1194"/>
      <c r="D9" s="1194"/>
      <c r="E9" s="1194"/>
      <c r="F9" s="1233"/>
      <c r="G9" s="310">
        <f>SUM(G4:G8)</f>
        <v>325000000</v>
      </c>
      <c r="H9" s="1229"/>
      <c r="I9" s="1230"/>
      <c r="J9" s="1230"/>
      <c r="K9" s="1229"/>
      <c r="L9" s="1230"/>
      <c r="M9" s="311">
        <f>SUM(M4:M8)</f>
        <v>87394998</v>
      </c>
      <c r="N9" s="311">
        <f>SUM(N4:N8)</f>
        <v>66963486</v>
      </c>
      <c r="O9" s="312"/>
      <c r="P9" s="310">
        <f>SUM(P4:P8)</f>
        <v>275000000</v>
      </c>
      <c r="Q9" s="315">
        <f>SUM(Q4:Q8)</f>
        <v>275000000</v>
      </c>
      <c r="R9" s="1229"/>
      <c r="S9" s="1230"/>
      <c r="T9" s="1230"/>
      <c r="U9" s="1234"/>
      <c r="V9" s="1229"/>
      <c r="W9" s="1230"/>
      <c r="X9" s="311" t="e">
        <f>SUM(X4:X8)</f>
        <v>#REF!</v>
      </c>
      <c r="Y9" s="311" t="e">
        <f>SUM(Y4:Y8)</f>
        <v>#REF!</v>
      </c>
      <c r="Z9" s="316"/>
      <c r="AA9" s="1248"/>
      <c r="AB9" s="1248"/>
      <c r="AC9" s="1266"/>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194" t="s">
        <v>3095</v>
      </c>
      <c r="B11" s="1194" t="s">
        <v>648</v>
      </c>
      <c r="C11" s="1194" t="s">
        <v>3097</v>
      </c>
      <c r="D11" s="1194"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94" t="s">
        <v>3352</v>
      </c>
    </row>
    <row r="12" spans="1:29" ht="52.5" customHeight="1" x14ac:dyDescent="0.25">
      <c r="A12" s="1194"/>
      <c r="B12" s="1194"/>
      <c r="C12" s="1194"/>
      <c r="D12" s="1194"/>
      <c r="E12" s="1235" t="s">
        <v>3106</v>
      </c>
      <c r="F12" s="1227" t="s">
        <v>3107</v>
      </c>
      <c r="G12" s="1237"/>
      <c r="H12" s="1227"/>
      <c r="I12" s="1227"/>
      <c r="J12" s="1227"/>
      <c r="K12" s="1197"/>
      <c r="L12" s="1243"/>
      <c r="M12" s="1243"/>
      <c r="N12" s="1243"/>
      <c r="O12" s="1244"/>
      <c r="P12" s="1240">
        <v>15000000</v>
      </c>
      <c r="Q12" s="108"/>
      <c r="R12" s="1227" t="s">
        <v>3108</v>
      </c>
      <c r="S12" s="1227" t="s">
        <v>3432</v>
      </c>
      <c r="T12" s="1227" t="s">
        <v>3434</v>
      </c>
      <c r="U12" s="266"/>
      <c r="V12" s="273" t="e">
        <f>+#REF!</f>
        <v>#REF!</v>
      </c>
      <c r="W12" s="273" t="e">
        <f>+#REF!</f>
        <v>#REF!</v>
      </c>
      <c r="X12" s="158" t="e">
        <f>+#REF!</f>
        <v>#REF!</v>
      </c>
      <c r="Y12" s="149" t="e">
        <f>+#REF!</f>
        <v>#REF!</v>
      </c>
      <c r="Z12" s="149"/>
      <c r="AA12" s="151"/>
      <c r="AB12" s="157"/>
      <c r="AC12" s="1295"/>
    </row>
    <row r="13" spans="1:29" ht="46.5" customHeight="1" x14ac:dyDescent="0.25">
      <c r="A13" s="1194"/>
      <c r="B13" s="1194"/>
      <c r="C13" s="1194"/>
      <c r="D13" s="1194"/>
      <c r="E13" s="1236"/>
      <c r="F13" s="1183"/>
      <c r="G13" s="1238"/>
      <c r="H13" s="1183"/>
      <c r="I13" s="1183"/>
      <c r="J13" s="1183"/>
      <c r="K13" s="1197"/>
      <c r="L13" s="1243"/>
      <c r="M13" s="1243"/>
      <c r="N13" s="1243"/>
      <c r="O13" s="1244"/>
      <c r="P13" s="1241"/>
      <c r="Q13" s="108"/>
      <c r="R13" s="1183"/>
      <c r="S13" s="1183"/>
      <c r="T13" s="1183"/>
      <c r="U13" s="266"/>
      <c r="V13" s="273" t="e">
        <f>+#REF!</f>
        <v>#REF!</v>
      </c>
      <c r="W13" s="273" t="e">
        <f>+#REF!</f>
        <v>#REF!</v>
      </c>
      <c r="X13" s="158" t="e">
        <f>+#REF!</f>
        <v>#REF!</v>
      </c>
      <c r="Y13" s="149" t="e">
        <f>+#REF!</f>
        <v>#REF!</v>
      </c>
      <c r="Z13" s="149"/>
      <c r="AA13" s="151"/>
      <c r="AB13" s="157"/>
      <c r="AC13" s="1295"/>
    </row>
    <row r="14" spans="1:29" ht="45" customHeight="1" x14ac:dyDescent="0.25">
      <c r="A14" s="1194"/>
      <c r="B14" s="1194"/>
      <c r="C14" s="1194"/>
      <c r="D14" s="1194"/>
      <c r="E14" s="1236"/>
      <c r="F14" s="1183"/>
      <c r="G14" s="1238"/>
      <c r="H14" s="1183"/>
      <c r="I14" s="1183"/>
      <c r="J14" s="1183"/>
      <c r="K14" s="1197"/>
      <c r="L14" s="1243"/>
      <c r="M14" s="1243"/>
      <c r="N14" s="1243"/>
      <c r="O14" s="1244"/>
      <c r="P14" s="1241"/>
      <c r="Q14" s="108"/>
      <c r="R14" s="1183"/>
      <c r="S14" s="1183"/>
      <c r="T14" s="1183"/>
      <c r="U14" s="266"/>
      <c r="V14" s="273" t="e">
        <f>+#REF!</f>
        <v>#REF!</v>
      </c>
      <c r="W14" s="273" t="e">
        <f>+#REF!</f>
        <v>#REF!</v>
      </c>
      <c r="X14" s="158" t="e">
        <f>+#REF!</f>
        <v>#REF!</v>
      </c>
      <c r="Y14" s="149" t="e">
        <f>+#REF!</f>
        <v>#REF!</v>
      </c>
      <c r="Z14" s="149"/>
      <c r="AA14" s="151"/>
      <c r="AB14" s="157"/>
      <c r="AC14" s="1295"/>
    </row>
    <row r="15" spans="1:29" ht="52.5" customHeight="1" x14ac:dyDescent="0.25">
      <c r="A15" s="1194"/>
      <c r="B15" s="1194"/>
      <c r="C15" s="1194"/>
      <c r="D15" s="1194"/>
      <c r="E15" s="1236"/>
      <c r="F15" s="1183"/>
      <c r="G15" s="1238"/>
      <c r="H15" s="1183"/>
      <c r="I15" s="1183"/>
      <c r="J15" s="1183"/>
      <c r="K15" s="1197"/>
      <c r="L15" s="1243"/>
      <c r="M15" s="1243"/>
      <c r="N15" s="1243"/>
      <c r="O15" s="1244"/>
      <c r="P15" s="1241"/>
      <c r="Q15" s="108"/>
      <c r="R15" s="1183"/>
      <c r="S15" s="1183"/>
      <c r="T15" s="1183"/>
      <c r="U15" s="266"/>
      <c r="V15" s="273" t="e">
        <f>+#REF!</f>
        <v>#REF!</v>
      </c>
      <c r="W15" s="273" t="e">
        <f>+#REF!</f>
        <v>#REF!</v>
      </c>
      <c r="X15" s="158" t="e">
        <f>+#REF!</f>
        <v>#REF!</v>
      </c>
      <c r="Y15" s="149" t="e">
        <f>+#REF!</f>
        <v>#REF!</v>
      </c>
      <c r="Z15" s="149"/>
      <c r="AA15" s="151"/>
      <c r="AB15" s="157"/>
      <c r="AC15" s="1295"/>
    </row>
    <row r="16" spans="1:29" ht="56.25" customHeight="1" x14ac:dyDescent="0.25">
      <c r="A16" s="1194"/>
      <c r="B16" s="1194"/>
      <c r="C16" s="1194"/>
      <c r="D16" s="1194"/>
      <c r="E16" s="1236"/>
      <c r="F16" s="1184"/>
      <c r="G16" s="1239"/>
      <c r="H16" s="1184"/>
      <c r="I16" s="1184"/>
      <c r="J16" s="1184"/>
      <c r="K16" s="1198"/>
      <c r="L16" s="1245"/>
      <c r="M16" s="1245"/>
      <c r="N16" s="1245"/>
      <c r="O16" s="1246"/>
      <c r="P16" s="1242"/>
      <c r="Q16" s="108"/>
      <c r="R16" s="1184"/>
      <c r="S16" s="1184"/>
      <c r="T16" s="1184"/>
      <c r="U16" s="266"/>
      <c r="V16" s="273" t="e">
        <f>+#REF!</f>
        <v>#REF!</v>
      </c>
      <c r="W16" s="273" t="e">
        <f>+#REF!</f>
        <v>#REF!</v>
      </c>
      <c r="X16" s="158" t="e">
        <f>+#REF!</f>
        <v>#REF!</v>
      </c>
      <c r="Y16" s="149" t="e">
        <f>+#REF!</f>
        <v>#REF!</v>
      </c>
      <c r="Z16" s="149"/>
      <c r="AA16" s="151"/>
      <c r="AB16" s="157"/>
      <c r="AC16" s="1295"/>
    </row>
    <row r="17" spans="1:31" ht="75.75" customHeight="1" x14ac:dyDescent="0.25">
      <c r="A17" s="1194"/>
      <c r="B17" s="1194"/>
      <c r="C17" s="1194"/>
      <c r="D17" s="1194"/>
      <c r="E17" s="1194"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95"/>
    </row>
    <row r="18" spans="1:31" ht="68.25" customHeight="1" x14ac:dyDescent="0.25">
      <c r="A18" s="1194"/>
      <c r="B18" s="1194"/>
      <c r="C18" s="1194"/>
      <c r="D18" s="1194"/>
      <c r="E18" s="1194"/>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95"/>
    </row>
    <row r="19" spans="1:31" ht="84.75" customHeight="1" x14ac:dyDescent="0.25">
      <c r="A19" s="1194"/>
      <c r="B19" s="1194"/>
      <c r="C19" s="1194"/>
      <c r="D19" s="1194"/>
      <c r="E19" s="1194"/>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95"/>
    </row>
    <row r="20" spans="1:31" ht="68.25" hidden="1" customHeight="1" x14ac:dyDescent="0.25">
      <c r="A20" s="1194"/>
      <c r="B20" s="1194"/>
      <c r="C20" s="1194"/>
      <c r="D20" s="1194"/>
      <c r="E20" s="1194"/>
      <c r="F20" s="325" t="s">
        <v>3198</v>
      </c>
      <c r="G20" s="1247"/>
      <c r="H20" s="1248"/>
      <c r="I20" s="1248"/>
      <c r="J20" s="1248"/>
      <c r="K20" s="1249"/>
      <c r="L20" s="1249"/>
      <c r="M20" s="1249"/>
      <c r="N20" s="1249"/>
      <c r="O20" s="1250"/>
      <c r="P20" s="1292"/>
      <c r="Q20" s="1293"/>
      <c r="R20" s="1293"/>
      <c r="S20" s="1293"/>
      <c r="T20" s="1293"/>
      <c r="U20" s="223"/>
      <c r="V20" s="111" t="s">
        <v>3417</v>
      </c>
      <c r="W20" s="159" t="e">
        <f>+#REF!</f>
        <v>#REF!</v>
      </c>
      <c r="X20" s="158" t="e">
        <f>+#REF!</f>
        <v>#REF!</v>
      </c>
      <c r="Y20" s="149">
        <v>13905000</v>
      </c>
      <c r="Z20" s="149"/>
      <c r="AA20" s="151">
        <v>520</v>
      </c>
      <c r="AB20" s="285"/>
      <c r="AC20" s="1296"/>
    </row>
    <row r="21" spans="1:31" ht="30.75" customHeight="1" x14ac:dyDescent="0.25">
      <c r="A21" s="1194" t="s">
        <v>3406</v>
      </c>
      <c r="B21" s="1194"/>
      <c r="C21" s="1194"/>
      <c r="D21" s="1194"/>
      <c r="E21" s="1194"/>
      <c r="F21" s="1194"/>
      <c r="G21" s="135">
        <f>SUM(G11:G19)</f>
        <v>285000000</v>
      </c>
      <c r="H21" s="1233"/>
      <c r="I21" s="1248"/>
      <c r="J21" s="1248"/>
      <c r="K21" s="1233"/>
      <c r="L21" s="1248"/>
      <c r="M21" s="135">
        <f>SUM(M11:M19)</f>
        <v>229873287</v>
      </c>
      <c r="N21" s="135">
        <f>SUM(N11:N19)</f>
        <v>126146583</v>
      </c>
      <c r="O21" s="267"/>
      <c r="P21" s="135">
        <f>SUM(P12:P19)</f>
        <v>305000000</v>
      </c>
      <c r="Q21" s="135">
        <f>SUM(Q11:Q19)</f>
        <v>305000000</v>
      </c>
      <c r="R21" s="1233"/>
      <c r="S21" s="1248"/>
      <c r="T21" s="1248"/>
      <c r="U21" s="1266"/>
      <c r="V21" s="1233"/>
      <c r="W21" s="1248"/>
      <c r="X21" s="133" t="e">
        <f>SUM(X12:X20)</f>
        <v>#REF!</v>
      </c>
      <c r="Y21" s="133" t="e">
        <f>SUM(Y12:Y20)</f>
        <v>#REF!</v>
      </c>
      <c r="Z21" s="133"/>
      <c r="AA21" s="1233"/>
      <c r="AB21" s="1248"/>
      <c r="AC21" s="1266"/>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183" t="s">
        <v>2923</v>
      </c>
      <c r="B23" s="1183" t="s">
        <v>3162</v>
      </c>
      <c r="C23" s="1183" t="s">
        <v>2925</v>
      </c>
      <c r="D23" s="1183" t="s">
        <v>3163</v>
      </c>
      <c r="E23" s="1183" t="s">
        <v>2927</v>
      </c>
      <c r="F23" s="1183"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51" t="s">
        <v>3351</v>
      </c>
    </row>
    <row r="24" spans="1:31" ht="57" customHeight="1" x14ac:dyDescent="0.25">
      <c r="A24" s="1183"/>
      <c r="B24" s="1183"/>
      <c r="C24" s="1183"/>
      <c r="D24" s="1183"/>
      <c r="E24" s="1184"/>
      <c r="F24" s="1184"/>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52"/>
    </row>
    <row r="25" spans="1:31" ht="57" customHeight="1" x14ac:dyDescent="0.25">
      <c r="A25" s="1183"/>
      <c r="B25" s="1183"/>
      <c r="C25" s="1183"/>
      <c r="D25" s="1183"/>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53"/>
    </row>
    <row r="26" spans="1:31" ht="57" customHeight="1" x14ac:dyDescent="0.25">
      <c r="A26" s="1184"/>
      <c r="B26" s="1184"/>
      <c r="C26" s="1184"/>
      <c r="D26" s="1184"/>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27" t="s">
        <v>2923</v>
      </c>
      <c r="B27" s="1227" t="s">
        <v>3162</v>
      </c>
      <c r="C27" s="1227" t="s">
        <v>3003</v>
      </c>
      <c r="D27" s="1227"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183"/>
      <c r="B28" s="1183"/>
      <c r="C28" s="1183"/>
      <c r="D28" s="1183"/>
      <c r="E28" s="1227" t="s">
        <v>3018</v>
      </c>
      <c r="F28" s="1227"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51" t="s">
        <v>3351</v>
      </c>
    </row>
    <row r="29" spans="1:31" ht="63.75" x14ac:dyDescent="0.25">
      <c r="A29" s="1183"/>
      <c r="B29" s="1183"/>
      <c r="C29" s="1183"/>
      <c r="D29" s="1183"/>
      <c r="E29" s="1183"/>
      <c r="F29" s="1183"/>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53"/>
    </row>
    <row r="30" spans="1:31" ht="63.75" x14ac:dyDescent="0.25">
      <c r="A30" s="1183"/>
      <c r="B30" s="1183"/>
      <c r="C30" s="1183"/>
      <c r="D30" s="1183"/>
      <c r="E30" s="1184"/>
      <c r="F30" s="1184"/>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183"/>
      <c r="B31" s="1183"/>
      <c r="C31" s="1183"/>
      <c r="D31" s="1183"/>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184"/>
      <c r="B32" s="1184"/>
      <c r="C32" s="1184"/>
      <c r="D32" s="1184"/>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27" t="s">
        <v>2923</v>
      </c>
      <c r="B33" s="1254" t="s">
        <v>3162</v>
      </c>
      <c r="C33" s="1227" t="s">
        <v>2943</v>
      </c>
      <c r="D33" s="1254" t="s">
        <v>3170</v>
      </c>
      <c r="E33" s="1227" t="s">
        <v>2961</v>
      </c>
      <c r="F33" s="1254" t="s">
        <v>3177</v>
      </c>
      <c r="G33" s="1240">
        <v>900000000</v>
      </c>
      <c r="H33" s="1194" t="s">
        <v>2964</v>
      </c>
      <c r="I33" s="1194" t="s">
        <v>3221</v>
      </c>
      <c r="J33" s="1194">
        <v>9</v>
      </c>
      <c r="K33" s="2" t="s">
        <v>134</v>
      </c>
      <c r="L33" s="154" t="s">
        <v>129</v>
      </c>
      <c r="M33" s="113">
        <v>34000000</v>
      </c>
      <c r="N33" s="113">
        <v>27947548</v>
      </c>
      <c r="O33" s="317" t="s">
        <v>3435</v>
      </c>
      <c r="P33" s="1257">
        <v>900000000</v>
      </c>
      <c r="Q33" s="1260">
        <v>900000000</v>
      </c>
      <c r="R33" s="1194" t="s">
        <v>2964</v>
      </c>
      <c r="S33" s="1194" t="s">
        <v>3221</v>
      </c>
      <c r="T33" s="1194">
        <v>9</v>
      </c>
      <c r="U33" s="106">
        <v>0</v>
      </c>
      <c r="V33" s="2" t="s">
        <v>134</v>
      </c>
      <c r="W33" s="154" t="s">
        <v>129</v>
      </c>
      <c r="X33" s="167" t="e">
        <f>+#REF!</f>
        <v>#REF!</v>
      </c>
      <c r="Y33" s="149" t="e">
        <f>+#REF!</f>
        <v>#REF!</v>
      </c>
      <c r="Z33" s="149"/>
      <c r="AA33" s="151">
        <v>310</v>
      </c>
      <c r="AB33" s="157" t="e">
        <f>+#REF!-#REF!</f>
        <v>#REF!</v>
      </c>
      <c r="AC33" s="184" t="s">
        <v>3355</v>
      </c>
    </row>
    <row r="34" spans="1:29" ht="25.5" x14ac:dyDescent="0.25">
      <c r="A34" s="1183"/>
      <c r="B34" s="1255"/>
      <c r="C34" s="1183"/>
      <c r="D34" s="1255"/>
      <c r="E34" s="1183"/>
      <c r="F34" s="1255"/>
      <c r="G34" s="1241"/>
      <c r="H34" s="1194"/>
      <c r="I34" s="1194"/>
      <c r="J34" s="1194"/>
      <c r="K34" s="2" t="s">
        <v>163</v>
      </c>
      <c r="L34" s="154" t="s">
        <v>158</v>
      </c>
      <c r="M34" s="113">
        <v>0</v>
      </c>
      <c r="N34" s="113">
        <v>0</v>
      </c>
      <c r="O34" s="271">
        <v>0</v>
      </c>
      <c r="P34" s="1258"/>
      <c r="Q34" s="1261"/>
      <c r="R34" s="1194"/>
      <c r="S34" s="1194"/>
      <c r="T34" s="1194"/>
      <c r="U34" s="126"/>
      <c r="V34" s="2" t="s">
        <v>163</v>
      </c>
      <c r="W34" s="154" t="s">
        <v>158</v>
      </c>
      <c r="X34" s="167" t="e">
        <f>+#REF!</f>
        <v>#REF!</v>
      </c>
      <c r="Y34" s="149" t="e">
        <f>+#REF!</f>
        <v>#REF!</v>
      </c>
      <c r="Z34" s="149"/>
      <c r="AA34" s="151">
        <v>310</v>
      </c>
      <c r="AB34" s="157" t="e">
        <f>+#REF!-#REF!</f>
        <v>#REF!</v>
      </c>
      <c r="AC34" s="184" t="s">
        <v>3355</v>
      </c>
    </row>
    <row r="35" spans="1:29" ht="51" x14ac:dyDescent="0.25">
      <c r="A35" s="1183"/>
      <c r="B35" s="1255"/>
      <c r="C35" s="1183"/>
      <c r="D35" s="1255"/>
      <c r="E35" s="1183"/>
      <c r="F35" s="1255"/>
      <c r="G35" s="1241"/>
      <c r="H35" s="1194"/>
      <c r="I35" s="1194"/>
      <c r="J35" s="1194"/>
      <c r="K35" s="2" t="s">
        <v>153</v>
      </c>
      <c r="L35" s="154" t="s">
        <v>148</v>
      </c>
      <c r="M35" s="113">
        <v>42935553</v>
      </c>
      <c r="N35" s="113">
        <v>38179008</v>
      </c>
      <c r="O35" s="317" t="s">
        <v>3436</v>
      </c>
      <c r="P35" s="1258"/>
      <c r="Q35" s="1261"/>
      <c r="R35" s="1194"/>
      <c r="S35" s="1194"/>
      <c r="T35" s="1194"/>
      <c r="U35" s="126"/>
      <c r="V35" s="2" t="s">
        <v>153</v>
      </c>
      <c r="W35" s="154" t="s">
        <v>148</v>
      </c>
      <c r="X35" s="167" t="e">
        <f>+#REF!</f>
        <v>#REF!</v>
      </c>
      <c r="Y35" s="149" t="e">
        <f>+#REF!</f>
        <v>#REF!</v>
      </c>
      <c r="Z35" s="149"/>
      <c r="AA35" s="151">
        <v>310</v>
      </c>
      <c r="AB35" s="157" t="e">
        <f>+#REF!-#REF!</f>
        <v>#REF!</v>
      </c>
      <c r="AC35" s="184" t="s">
        <v>3355</v>
      </c>
    </row>
    <row r="36" spans="1:29" ht="38.25" x14ac:dyDescent="0.25">
      <c r="A36" s="1183"/>
      <c r="B36" s="1255"/>
      <c r="C36" s="1183"/>
      <c r="D36" s="1255"/>
      <c r="E36" s="1183"/>
      <c r="F36" s="1255"/>
      <c r="G36" s="1241"/>
      <c r="H36" s="1194"/>
      <c r="I36" s="1194"/>
      <c r="J36" s="1194"/>
      <c r="K36" s="2" t="s">
        <v>141</v>
      </c>
      <c r="L36" s="154" t="s">
        <v>136</v>
      </c>
      <c r="M36" s="113">
        <v>0</v>
      </c>
      <c r="N36" s="113">
        <v>0</v>
      </c>
      <c r="O36" s="271">
        <v>0</v>
      </c>
      <c r="P36" s="1258"/>
      <c r="Q36" s="1261"/>
      <c r="R36" s="1194"/>
      <c r="S36" s="1194"/>
      <c r="T36" s="1194"/>
      <c r="U36" s="126"/>
      <c r="V36" s="2" t="s">
        <v>141</v>
      </c>
      <c r="W36" s="154" t="s">
        <v>136</v>
      </c>
      <c r="X36" s="167" t="e">
        <f>+#REF!</f>
        <v>#REF!</v>
      </c>
      <c r="Y36" s="149" t="e">
        <f>+#REF!</f>
        <v>#REF!</v>
      </c>
      <c r="Z36" s="149"/>
      <c r="AA36" s="151">
        <v>310</v>
      </c>
      <c r="AB36" s="157" t="e">
        <f>+#REF!-#REF!</f>
        <v>#REF!</v>
      </c>
      <c r="AC36" s="184" t="s">
        <v>3355</v>
      </c>
    </row>
    <row r="37" spans="1:29" ht="38.25" x14ac:dyDescent="0.25">
      <c r="A37" s="1183"/>
      <c r="B37" s="1255"/>
      <c r="C37" s="1183"/>
      <c r="D37" s="1255"/>
      <c r="E37" s="1183"/>
      <c r="F37" s="1255"/>
      <c r="G37" s="1241"/>
      <c r="H37" s="1194"/>
      <c r="I37" s="1194"/>
      <c r="J37" s="1194"/>
      <c r="K37" s="2" t="s">
        <v>171</v>
      </c>
      <c r="L37" s="154" t="s">
        <v>3296</v>
      </c>
      <c r="M37" s="113">
        <v>30000000</v>
      </c>
      <c r="N37" s="113">
        <v>29998560</v>
      </c>
      <c r="O37" s="317" t="s">
        <v>3437</v>
      </c>
      <c r="P37" s="1258"/>
      <c r="Q37" s="1261"/>
      <c r="R37" s="1194"/>
      <c r="S37" s="1194"/>
      <c r="T37" s="1194"/>
      <c r="U37" s="126"/>
      <c r="V37" s="2" t="s">
        <v>171</v>
      </c>
      <c r="W37" s="154" t="s">
        <v>3296</v>
      </c>
      <c r="X37" s="167" t="e">
        <f>+#REF!</f>
        <v>#REF!</v>
      </c>
      <c r="Y37" s="149" t="e">
        <f>+#REF!</f>
        <v>#REF!</v>
      </c>
      <c r="Z37" s="149"/>
      <c r="AA37" s="151">
        <v>310</v>
      </c>
      <c r="AB37" s="157" t="e">
        <f>+#REF!-#REF!</f>
        <v>#REF!</v>
      </c>
      <c r="AC37" s="184" t="s">
        <v>3355</v>
      </c>
    </row>
    <row r="38" spans="1:29" ht="25.5" x14ac:dyDescent="0.25">
      <c r="A38" s="1183"/>
      <c r="B38" s="1255"/>
      <c r="C38" s="1183"/>
      <c r="D38" s="1255"/>
      <c r="E38" s="1183"/>
      <c r="F38" s="1255"/>
      <c r="G38" s="1241"/>
      <c r="H38" s="1194"/>
      <c r="I38" s="1194"/>
      <c r="J38" s="1194"/>
      <c r="K38" s="2" t="s">
        <v>179</v>
      </c>
      <c r="L38" s="154" t="s">
        <v>174</v>
      </c>
      <c r="M38" s="113">
        <v>37376721</v>
      </c>
      <c r="N38" s="113">
        <v>37376721</v>
      </c>
      <c r="O38" s="317" t="s">
        <v>3438</v>
      </c>
      <c r="P38" s="1258"/>
      <c r="Q38" s="1261"/>
      <c r="R38" s="1194"/>
      <c r="S38" s="1194"/>
      <c r="T38" s="1194"/>
      <c r="U38" s="126"/>
      <c r="V38" s="2" t="s">
        <v>179</v>
      </c>
      <c r="W38" s="154" t="s">
        <v>174</v>
      </c>
      <c r="X38" s="167" t="e">
        <f>+#REF!</f>
        <v>#REF!</v>
      </c>
      <c r="Y38" s="149" t="e">
        <f>+#REF!</f>
        <v>#REF!</v>
      </c>
      <c r="Z38" s="149"/>
      <c r="AA38" s="151">
        <v>310</v>
      </c>
      <c r="AB38" s="157" t="e">
        <f>+#REF!-#REF!</f>
        <v>#REF!</v>
      </c>
      <c r="AC38" s="184" t="s">
        <v>3355</v>
      </c>
    </row>
    <row r="39" spans="1:29" ht="25.5" x14ac:dyDescent="0.25">
      <c r="A39" s="1183"/>
      <c r="B39" s="1255"/>
      <c r="C39" s="1183"/>
      <c r="D39" s="1255"/>
      <c r="E39" s="1183"/>
      <c r="F39" s="1255"/>
      <c r="G39" s="1256"/>
      <c r="H39" s="1194"/>
      <c r="I39" s="1194"/>
      <c r="J39" s="1194"/>
      <c r="K39" s="2" t="s">
        <v>187</v>
      </c>
      <c r="L39" s="154" t="s">
        <v>182</v>
      </c>
      <c r="M39" s="113">
        <v>0</v>
      </c>
      <c r="N39" s="113">
        <v>0</v>
      </c>
      <c r="O39" s="271">
        <v>0</v>
      </c>
      <c r="P39" s="1259"/>
      <c r="Q39" s="1262"/>
      <c r="R39" s="1194"/>
      <c r="S39" s="1194"/>
      <c r="T39" s="1194"/>
      <c r="U39" s="102"/>
      <c r="V39" s="2" t="s">
        <v>187</v>
      </c>
      <c r="W39" s="154" t="s">
        <v>182</v>
      </c>
      <c r="X39" s="167" t="e">
        <f>+#REF!</f>
        <v>#REF!</v>
      </c>
      <c r="Y39" s="149" t="e">
        <f>+#REF!</f>
        <v>#REF!</v>
      </c>
      <c r="Z39" s="149"/>
      <c r="AA39" s="151">
        <v>310</v>
      </c>
      <c r="AB39" s="157" t="e">
        <f>+#REF!-#REF!</f>
        <v>#REF!</v>
      </c>
      <c r="AC39" s="184" t="s">
        <v>3355</v>
      </c>
    </row>
    <row r="40" spans="1:29" ht="75.75" customHeight="1" x14ac:dyDescent="0.25">
      <c r="A40" s="1227" t="s">
        <v>2923</v>
      </c>
      <c r="B40" s="1227" t="s">
        <v>3162</v>
      </c>
      <c r="C40" s="1227" t="s">
        <v>2943</v>
      </c>
      <c r="D40" s="1227"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51" t="s">
        <v>3356</v>
      </c>
    </row>
    <row r="41" spans="1:29" ht="63.75" x14ac:dyDescent="0.25">
      <c r="A41" s="1183"/>
      <c r="B41" s="1183"/>
      <c r="C41" s="1183"/>
      <c r="D41" s="1183"/>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52"/>
    </row>
    <row r="42" spans="1:29" ht="64.5" customHeight="1" x14ac:dyDescent="0.25">
      <c r="A42" s="1184"/>
      <c r="B42" s="1184"/>
      <c r="C42" s="1184"/>
      <c r="D42" s="1184"/>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53"/>
    </row>
    <row r="43" spans="1:29" ht="40.5" customHeight="1" x14ac:dyDescent="0.25">
      <c r="A43" s="1227" t="s">
        <v>2923</v>
      </c>
      <c r="B43" s="1227" t="s">
        <v>3162</v>
      </c>
      <c r="C43" s="1227" t="s">
        <v>2943</v>
      </c>
      <c r="D43" s="1227" t="s">
        <v>3170</v>
      </c>
      <c r="E43" s="1227" t="s">
        <v>2988</v>
      </c>
      <c r="F43" s="1228" t="s">
        <v>3180</v>
      </c>
      <c r="G43" s="1195">
        <v>122000000</v>
      </c>
      <c r="H43" s="1194" t="s">
        <v>2990</v>
      </c>
      <c r="I43" s="1194" t="s">
        <v>3272</v>
      </c>
      <c r="J43" s="1194">
        <v>5</v>
      </c>
      <c r="K43" s="317" t="s">
        <v>391</v>
      </c>
      <c r="L43" s="331" t="s">
        <v>3181</v>
      </c>
      <c r="M43" s="135">
        <v>11261724</v>
      </c>
      <c r="N43" s="135">
        <v>11261724</v>
      </c>
      <c r="O43" s="317">
        <v>21</v>
      </c>
      <c r="P43" s="1195">
        <v>170000000</v>
      </c>
      <c r="Q43" s="1267">
        <v>170000000</v>
      </c>
      <c r="R43" s="1194" t="s">
        <v>2990</v>
      </c>
      <c r="S43" s="1194" t="s">
        <v>3439</v>
      </c>
      <c r="T43" s="1269">
        <v>5</v>
      </c>
      <c r="U43" s="106">
        <v>0</v>
      </c>
      <c r="V43" s="2" t="s">
        <v>391</v>
      </c>
      <c r="W43" s="154" t="s">
        <v>3181</v>
      </c>
      <c r="X43" s="167" t="e">
        <f>+#REF!</f>
        <v>#REF!</v>
      </c>
      <c r="Y43" s="149" t="e">
        <f>+#REF!</f>
        <v>#REF!</v>
      </c>
      <c r="Z43" s="149"/>
      <c r="AA43" s="151">
        <v>410</v>
      </c>
      <c r="AB43" s="157" t="e">
        <f>+#REF!-#REF!</f>
        <v>#REF!</v>
      </c>
      <c r="AC43" s="1263" t="s">
        <v>3350</v>
      </c>
    </row>
    <row r="44" spans="1:29" ht="40.5" customHeight="1" x14ac:dyDescent="0.25">
      <c r="A44" s="1183"/>
      <c r="B44" s="1183"/>
      <c r="C44" s="1183"/>
      <c r="D44" s="1183"/>
      <c r="E44" s="1183"/>
      <c r="F44" s="1197"/>
      <c r="G44" s="1195"/>
      <c r="H44" s="1194"/>
      <c r="I44" s="1194"/>
      <c r="J44" s="1194"/>
      <c r="K44" s="317" t="s">
        <v>379</v>
      </c>
      <c r="L44" s="331" t="s">
        <v>3237</v>
      </c>
      <c r="M44" s="135">
        <v>11750000</v>
      </c>
      <c r="N44" s="135">
        <v>0</v>
      </c>
      <c r="O44" s="317">
        <v>21</v>
      </c>
      <c r="P44" s="1195"/>
      <c r="Q44" s="1268"/>
      <c r="R44" s="1194"/>
      <c r="S44" s="1194"/>
      <c r="T44" s="1243"/>
      <c r="U44" s="102"/>
      <c r="V44" s="2" t="s">
        <v>379</v>
      </c>
      <c r="W44" s="154" t="s">
        <v>3237</v>
      </c>
      <c r="X44" s="167" t="e">
        <f>+#REF!</f>
        <v>#REF!</v>
      </c>
      <c r="Y44" s="149" t="e">
        <f>+#REF!</f>
        <v>#REF!</v>
      </c>
      <c r="Z44" s="149"/>
      <c r="AA44" s="151">
        <v>410</v>
      </c>
      <c r="AB44" s="157" t="e">
        <f>+#REF!-#REF!</f>
        <v>#REF!</v>
      </c>
      <c r="AC44" s="1264"/>
    </row>
    <row r="45" spans="1:29" ht="39" customHeight="1" x14ac:dyDescent="0.25">
      <c r="A45" s="1183"/>
      <c r="B45" s="1183"/>
      <c r="C45" s="1183"/>
      <c r="D45" s="1183"/>
      <c r="E45" s="1183"/>
      <c r="F45" s="1197"/>
      <c r="G45" s="1195"/>
      <c r="H45" s="1194"/>
      <c r="I45" s="1194"/>
      <c r="J45" s="1194"/>
      <c r="K45" s="317" t="s">
        <v>393</v>
      </c>
      <c r="L45" s="331" t="s">
        <v>394</v>
      </c>
      <c r="M45" s="135">
        <v>49500000</v>
      </c>
      <c r="N45" s="135">
        <v>40458993</v>
      </c>
      <c r="O45" s="317">
        <v>0</v>
      </c>
      <c r="P45" s="1195"/>
      <c r="Q45" s="1268"/>
      <c r="R45" s="1194"/>
      <c r="S45" s="1194"/>
      <c r="T45" s="1243"/>
      <c r="U45" s="102"/>
      <c r="V45" s="2" t="s">
        <v>393</v>
      </c>
      <c r="W45" s="154" t="s">
        <v>394</v>
      </c>
      <c r="X45" s="167" t="e">
        <f>+#REF!</f>
        <v>#REF!</v>
      </c>
      <c r="Y45" s="149" t="e">
        <f>+#REF!</f>
        <v>#REF!</v>
      </c>
      <c r="Z45" s="149"/>
      <c r="AA45" s="151">
        <v>410</v>
      </c>
      <c r="AB45" s="157" t="e">
        <f>+#REF!-#REF!</f>
        <v>#REF!</v>
      </c>
      <c r="AC45" s="1265"/>
    </row>
    <row r="46" spans="1:29" ht="72" customHeight="1" x14ac:dyDescent="0.25">
      <c r="A46" s="1184"/>
      <c r="B46" s="1184"/>
      <c r="C46" s="1184"/>
      <c r="D46" s="1184"/>
      <c r="E46" s="1184"/>
      <c r="F46" s="1198"/>
      <c r="G46" s="1195"/>
      <c r="H46" s="1194"/>
      <c r="I46" s="1194"/>
      <c r="J46" s="1194"/>
      <c r="K46" s="317"/>
      <c r="L46" s="331"/>
      <c r="M46" s="135"/>
      <c r="N46" s="135"/>
      <c r="O46" s="317"/>
      <c r="P46" s="1195"/>
      <c r="Q46" s="127"/>
      <c r="R46" s="1194"/>
      <c r="S46" s="1194"/>
      <c r="T46" s="1243"/>
      <c r="U46" s="102"/>
      <c r="V46" s="2" t="s">
        <v>3423</v>
      </c>
      <c r="W46" s="154" t="s">
        <v>3424</v>
      </c>
      <c r="X46" s="167" t="e">
        <f>+#REF!</f>
        <v>#REF!</v>
      </c>
      <c r="Y46" s="149" t="e">
        <f>+#REF!</f>
        <v>#REF!</v>
      </c>
      <c r="Z46" s="149"/>
      <c r="AA46" s="151"/>
      <c r="AB46" s="157"/>
      <c r="AC46" s="318"/>
    </row>
    <row r="47" spans="1:29" ht="76.5" x14ac:dyDescent="0.25">
      <c r="A47" s="1227" t="s">
        <v>2923</v>
      </c>
      <c r="B47" s="1227" t="s">
        <v>3162</v>
      </c>
      <c r="C47" s="1227" t="s">
        <v>2943</v>
      </c>
      <c r="D47" s="1227"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184"/>
      <c r="B48" s="1184"/>
      <c r="C48" s="1184"/>
      <c r="D48" s="1184"/>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63"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264"/>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65"/>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194" t="s">
        <v>3407</v>
      </c>
      <c r="B54" s="1194"/>
      <c r="C54" s="1194"/>
      <c r="D54" s="1194"/>
      <c r="E54" s="1194"/>
      <c r="F54" s="1194"/>
      <c r="G54" s="135">
        <f>SUM(G23:G53)</f>
        <v>3023000000</v>
      </c>
      <c r="H54" s="1233"/>
      <c r="I54" s="1248"/>
      <c r="J54" s="1248"/>
      <c r="K54" s="1233"/>
      <c r="L54" s="1248"/>
      <c r="M54" s="135">
        <f>SUM(M23:M53)</f>
        <v>1367857632</v>
      </c>
      <c r="N54" s="135">
        <f>SUM(N23:N53)</f>
        <v>1056762905</v>
      </c>
      <c r="O54" s="267"/>
      <c r="P54" s="135">
        <f>SUM(P23:P53)</f>
        <v>3329000000</v>
      </c>
      <c r="Q54" s="135">
        <f>SUM(Q47:Q53)</f>
        <v>1090000000</v>
      </c>
      <c r="R54" s="1233"/>
      <c r="S54" s="1248"/>
      <c r="T54" s="1248"/>
      <c r="U54" s="1266"/>
      <c r="V54" s="1233"/>
      <c r="W54" s="1248"/>
      <c r="X54" s="133" t="e">
        <f>SUM(X23:X53)</f>
        <v>#REF!</v>
      </c>
      <c r="Y54" s="133" t="e">
        <f>SUM(Y23:Y53)</f>
        <v>#REF!</v>
      </c>
      <c r="Z54" s="133"/>
      <c r="AA54" s="1233"/>
      <c r="AB54" s="1248"/>
      <c r="AC54" s="1266"/>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27" t="s">
        <v>2814</v>
      </c>
      <c r="B56" s="1254" t="s">
        <v>3138</v>
      </c>
      <c r="C56" s="1227" t="s">
        <v>2816</v>
      </c>
      <c r="D56" s="1254" t="s">
        <v>3140</v>
      </c>
      <c r="E56" s="1227" t="s">
        <v>2822</v>
      </c>
      <c r="F56" s="1254" t="s">
        <v>2823</v>
      </c>
      <c r="G56" s="1240">
        <v>50000000</v>
      </c>
      <c r="H56" s="1194" t="s">
        <v>2824</v>
      </c>
      <c r="I56" s="1194" t="s">
        <v>3451</v>
      </c>
      <c r="J56" s="1194">
        <v>0</v>
      </c>
      <c r="K56" s="109" t="s">
        <v>323</v>
      </c>
      <c r="L56" s="154" t="s">
        <v>3145</v>
      </c>
      <c r="M56" s="113">
        <v>18500000</v>
      </c>
      <c r="N56" s="113">
        <v>18500000</v>
      </c>
      <c r="O56" s="271"/>
      <c r="P56" s="1257">
        <v>100000000</v>
      </c>
      <c r="Q56" s="1260">
        <v>100000000</v>
      </c>
      <c r="R56" s="1194" t="s">
        <v>2824</v>
      </c>
      <c r="S56" s="1194" t="s">
        <v>3141</v>
      </c>
      <c r="T56" s="1194">
        <v>1</v>
      </c>
      <c r="U56" s="1306">
        <v>0</v>
      </c>
      <c r="V56" s="109" t="s">
        <v>323</v>
      </c>
      <c r="W56" s="154" t="s">
        <v>3145</v>
      </c>
      <c r="X56" s="158" t="e">
        <f>+#REF!</f>
        <v>#REF!</v>
      </c>
      <c r="Y56" s="149">
        <v>41065933</v>
      </c>
      <c r="Z56" s="149"/>
      <c r="AA56" s="151">
        <v>510</v>
      </c>
      <c r="AB56" s="157" t="e">
        <f>+#REF!-#REF!</f>
        <v>#REF!</v>
      </c>
      <c r="AC56" s="1308" t="s">
        <v>3348</v>
      </c>
    </row>
    <row r="57" spans="1:29" ht="63.75" x14ac:dyDescent="0.25">
      <c r="A57" s="1183"/>
      <c r="B57" s="1255"/>
      <c r="C57" s="1183"/>
      <c r="D57" s="1255"/>
      <c r="E57" s="1183"/>
      <c r="F57" s="1255"/>
      <c r="G57" s="1241"/>
      <c r="H57" s="1194"/>
      <c r="I57" s="1194"/>
      <c r="J57" s="1194"/>
      <c r="K57" s="109" t="s">
        <v>319</v>
      </c>
      <c r="L57" s="154" t="s">
        <v>3143</v>
      </c>
      <c r="M57" s="113">
        <v>5000000</v>
      </c>
      <c r="N57" s="113">
        <v>1090000</v>
      </c>
      <c r="O57" s="271"/>
      <c r="P57" s="1258"/>
      <c r="Q57" s="1261"/>
      <c r="R57" s="1194"/>
      <c r="S57" s="1194"/>
      <c r="T57" s="1194"/>
      <c r="U57" s="1307"/>
      <c r="V57" s="109" t="s">
        <v>319</v>
      </c>
      <c r="W57" s="154" t="s">
        <v>3143</v>
      </c>
      <c r="X57" s="158" t="e">
        <f>+#REF!</f>
        <v>#REF!</v>
      </c>
      <c r="Y57" s="149" t="e">
        <f>+#REF!</f>
        <v>#REF!</v>
      </c>
      <c r="Z57" s="149"/>
      <c r="AA57" s="151">
        <v>510</v>
      </c>
      <c r="AB57" s="157" t="e">
        <f>+#REF!-#REF!</f>
        <v>#REF!</v>
      </c>
      <c r="AC57" s="1308"/>
    </row>
    <row r="58" spans="1:29" ht="76.5" x14ac:dyDescent="0.25">
      <c r="A58" s="1183"/>
      <c r="B58" s="1255"/>
      <c r="C58" s="1183"/>
      <c r="D58" s="1255"/>
      <c r="E58" s="1183"/>
      <c r="F58" s="1255"/>
      <c r="G58" s="1256"/>
      <c r="H58" s="1194"/>
      <c r="I58" s="1194"/>
      <c r="J58" s="1194"/>
      <c r="K58" s="109" t="s">
        <v>321</v>
      </c>
      <c r="L58" s="154" t="s">
        <v>3144</v>
      </c>
      <c r="M58" s="113">
        <v>1500000</v>
      </c>
      <c r="N58" s="113">
        <v>0</v>
      </c>
      <c r="O58" s="271"/>
      <c r="P58" s="1259"/>
      <c r="Q58" s="1262"/>
      <c r="R58" s="1194"/>
      <c r="S58" s="1194"/>
      <c r="T58" s="1194"/>
      <c r="U58" s="1307"/>
      <c r="V58" s="109" t="s">
        <v>321</v>
      </c>
      <c r="W58" s="154" t="s">
        <v>3144</v>
      </c>
      <c r="X58" s="158" t="e">
        <f>+#REF!</f>
        <v>#REF!</v>
      </c>
      <c r="Y58" s="149" t="e">
        <f>+#REF!</f>
        <v>#REF!</v>
      </c>
      <c r="Z58" s="149"/>
      <c r="AA58" s="151">
        <v>510</v>
      </c>
      <c r="AB58" s="157" t="e">
        <f>+#REF!-#REF!</f>
        <v>#REF!</v>
      </c>
      <c r="AC58" s="1308"/>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27" t="s">
        <v>2814</v>
      </c>
      <c r="B60" s="1254" t="s">
        <v>3138</v>
      </c>
      <c r="C60" s="1227" t="s">
        <v>3030</v>
      </c>
      <c r="D60" s="1254" t="s">
        <v>3259</v>
      </c>
      <c r="E60" s="1227" t="s">
        <v>3032</v>
      </c>
      <c r="F60" s="1254" t="s">
        <v>3340</v>
      </c>
      <c r="G60" s="1240">
        <v>4600000000</v>
      </c>
      <c r="H60" s="1194" t="s">
        <v>3035</v>
      </c>
      <c r="I60" s="1194" t="s">
        <v>3036</v>
      </c>
      <c r="J60" s="337" t="s">
        <v>3454</v>
      </c>
      <c r="K60" s="109" t="s">
        <v>232</v>
      </c>
      <c r="L60" s="154" t="s">
        <v>3297</v>
      </c>
      <c r="M60" s="113">
        <v>4830889623</v>
      </c>
      <c r="N60" s="113">
        <v>113437936</v>
      </c>
      <c r="O60" s="271"/>
      <c r="P60" s="1257">
        <v>3500000000</v>
      </c>
      <c r="Q60" s="1260">
        <v>3500000000</v>
      </c>
      <c r="R60" s="1194" t="s">
        <v>3035</v>
      </c>
      <c r="S60" s="1194" t="s">
        <v>3036</v>
      </c>
      <c r="T60" s="337" t="s">
        <v>3457</v>
      </c>
      <c r="U60" s="106">
        <v>0</v>
      </c>
      <c r="V60" s="2" t="s">
        <v>232</v>
      </c>
      <c r="W60" s="154" t="s">
        <v>3297</v>
      </c>
      <c r="X60" s="158" t="e">
        <f>+#REF!</f>
        <v>#REF!</v>
      </c>
      <c r="Y60" s="149">
        <v>2919730921</v>
      </c>
      <c r="Z60" s="149"/>
      <c r="AA60" s="151">
        <v>111</v>
      </c>
      <c r="AB60" s="157" t="e">
        <f>+#REF!-#REF!</f>
        <v>#REF!</v>
      </c>
      <c r="AC60" s="1270" t="s">
        <v>3359</v>
      </c>
    </row>
    <row r="61" spans="1:29" ht="25.5" x14ac:dyDescent="0.25">
      <c r="A61" s="1183"/>
      <c r="B61" s="1255"/>
      <c r="C61" s="1183"/>
      <c r="D61" s="1255"/>
      <c r="E61" s="1183"/>
      <c r="F61" s="1255"/>
      <c r="G61" s="1241"/>
      <c r="H61" s="1194"/>
      <c r="I61" s="1194"/>
      <c r="J61" s="337" t="s">
        <v>3455</v>
      </c>
      <c r="K61" s="109" t="s">
        <v>230</v>
      </c>
      <c r="L61" s="154" t="s">
        <v>2811</v>
      </c>
      <c r="M61" s="113">
        <v>618650000</v>
      </c>
      <c r="N61" s="113">
        <v>358328172</v>
      </c>
      <c r="O61" s="271"/>
      <c r="P61" s="1258"/>
      <c r="Q61" s="1261"/>
      <c r="R61" s="1194"/>
      <c r="S61" s="1194"/>
      <c r="T61" s="337" t="s">
        <v>3458</v>
      </c>
      <c r="U61" s="126"/>
      <c r="V61" s="2" t="s">
        <v>230</v>
      </c>
      <c r="W61" s="154" t="s">
        <v>2811</v>
      </c>
      <c r="X61" s="158" t="e">
        <f>+#REF!</f>
        <v>#REF!</v>
      </c>
      <c r="Y61" s="149">
        <v>420908963</v>
      </c>
      <c r="Z61" s="149"/>
      <c r="AA61" s="151">
        <v>111</v>
      </c>
      <c r="AB61" s="157" t="e">
        <f>+#REF!-#REF!</f>
        <v>#REF!</v>
      </c>
      <c r="AC61" s="1270"/>
    </row>
    <row r="62" spans="1:29" ht="39" customHeight="1" x14ac:dyDescent="0.25">
      <c r="A62" s="1183"/>
      <c r="B62" s="1255"/>
      <c r="C62" s="1183"/>
      <c r="D62" s="1255"/>
      <c r="E62" s="1183"/>
      <c r="F62" s="1255"/>
      <c r="G62" s="1256"/>
      <c r="H62" s="1191"/>
      <c r="I62" s="1191"/>
      <c r="J62" s="337" t="s">
        <v>3456</v>
      </c>
      <c r="K62" s="247" t="s">
        <v>234</v>
      </c>
      <c r="L62" s="154" t="s">
        <v>3298</v>
      </c>
      <c r="M62" s="113"/>
      <c r="N62" s="113"/>
      <c r="O62" s="271"/>
      <c r="P62" s="1259"/>
      <c r="Q62" s="1262"/>
      <c r="R62" s="1191"/>
      <c r="S62" s="1191"/>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194" t="s">
        <v>2814</v>
      </c>
      <c r="B63" s="1194" t="s">
        <v>3138</v>
      </c>
      <c r="C63" s="1194" t="s">
        <v>3030</v>
      </c>
      <c r="D63" s="1194" t="s">
        <v>3259</v>
      </c>
      <c r="E63" s="1194" t="s">
        <v>3032</v>
      </c>
      <c r="F63" s="1194" t="s">
        <v>3188</v>
      </c>
      <c r="G63" s="1195">
        <v>300000000</v>
      </c>
      <c r="H63" s="1194" t="s">
        <v>3042</v>
      </c>
      <c r="I63" s="1194" t="s">
        <v>3226</v>
      </c>
      <c r="J63" s="1194" t="s">
        <v>3459</v>
      </c>
      <c r="K63" s="330" t="s">
        <v>91</v>
      </c>
      <c r="L63" s="174" t="s">
        <v>3192</v>
      </c>
      <c r="M63" s="113">
        <v>67619227</v>
      </c>
      <c r="N63" s="113">
        <v>62537481</v>
      </c>
      <c r="O63" s="249"/>
      <c r="P63" s="1309">
        <v>680000000</v>
      </c>
      <c r="Q63" s="1195">
        <v>680000000</v>
      </c>
      <c r="R63" s="1194" t="s">
        <v>3042</v>
      </c>
      <c r="S63" s="1194" t="s">
        <v>3226</v>
      </c>
      <c r="T63" s="1194" t="s">
        <v>3460</v>
      </c>
      <c r="U63" s="4"/>
      <c r="V63" s="249" t="s">
        <v>91</v>
      </c>
      <c r="W63" s="174" t="s">
        <v>3192</v>
      </c>
      <c r="X63" s="158" t="e">
        <f>+#REF!</f>
        <v>#REF!</v>
      </c>
      <c r="Y63" s="149">
        <v>0</v>
      </c>
      <c r="Z63" s="149"/>
      <c r="AA63" s="151">
        <v>211</v>
      </c>
      <c r="AB63" s="157" t="e">
        <f>+#REF!-#REF!</f>
        <v>#REF!</v>
      </c>
      <c r="AC63" s="1263" t="s">
        <v>3360</v>
      </c>
    </row>
    <row r="64" spans="1:29" ht="49.5" customHeight="1" x14ac:dyDescent="0.25">
      <c r="A64" s="1194"/>
      <c r="B64" s="1194"/>
      <c r="C64" s="1194"/>
      <c r="D64" s="1194"/>
      <c r="E64" s="1194"/>
      <c r="F64" s="1194"/>
      <c r="G64" s="1195"/>
      <c r="H64" s="1194"/>
      <c r="I64" s="1194"/>
      <c r="J64" s="1194"/>
      <c r="K64" s="330" t="s">
        <v>93</v>
      </c>
      <c r="L64" s="174" t="s">
        <v>3189</v>
      </c>
      <c r="M64" s="113">
        <v>2057660</v>
      </c>
      <c r="N64" s="113">
        <v>1922700</v>
      </c>
      <c r="O64" s="249"/>
      <c r="P64" s="1310"/>
      <c r="Q64" s="1195"/>
      <c r="R64" s="1194"/>
      <c r="S64" s="1194"/>
      <c r="T64" s="1194"/>
      <c r="U64" s="127">
        <v>0</v>
      </c>
      <c r="V64" s="249" t="s">
        <v>93</v>
      </c>
      <c r="W64" s="174" t="s">
        <v>3189</v>
      </c>
      <c r="X64" s="158" t="e">
        <f>+#REF!</f>
        <v>#REF!</v>
      </c>
      <c r="Y64" s="149">
        <v>0</v>
      </c>
      <c r="Z64" s="149"/>
      <c r="AA64" s="151">
        <v>211</v>
      </c>
      <c r="AB64" s="157" t="e">
        <f>+#REF!-#REF!</f>
        <v>#REF!</v>
      </c>
      <c r="AC64" s="1264"/>
    </row>
    <row r="65" spans="1:29" ht="48.75" customHeight="1" x14ac:dyDescent="0.25">
      <c r="A65" s="1194"/>
      <c r="B65" s="1194"/>
      <c r="C65" s="1194"/>
      <c r="D65" s="1194"/>
      <c r="E65" s="1194"/>
      <c r="F65" s="1194"/>
      <c r="G65" s="1195"/>
      <c r="H65" s="1194"/>
      <c r="I65" s="1194"/>
      <c r="J65" s="1194"/>
      <c r="K65" s="330" t="s">
        <v>97</v>
      </c>
      <c r="L65" s="174" t="s">
        <v>3190</v>
      </c>
      <c r="M65" s="113">
        <v>27384250</v>
      </c>
      <c r="N65" s="113">
        <v>14840001</v>
      </c>
      <c r="O65" s="249"/>
      <c r="P65" s="1310"/>
      <c r="Q65" s="1195"/>
      <c r="R65" s="1194"/>
      <c r="S65" s="1194"/>
      <c r="T65" s="1194"/>
      <c r="U65" s="128"/>
      <c r="V65" s="249" t="s">
        <v>97</v>
      </c>
      <c r="W65" s="174" t="s">
        <v>3190</v>
      </c>
      <c r="X65" s="158" t="e">
        <f>+#REF!</f>
        <v>#REF!</v>
      </c>
      <c r="Y65" s="149">
        <v>0</v>
      </c>
      <c r="Z65" s="149"/>
      <c r="AA65" s="151">
        <v>211</v>
      </c>
      <c r="AB65" s="157" t="e">
        <f>+#REF!-#REF!</f>
        <v>#REF!</v>
      </c>
      <c r="AC65" s="1265"/>
    </row>
    <row r="66" spans="1:29" ht="50.25" customHeight="1" x14ac:dyDescent="0.25">
      <c r="A66" s="1194"/>
      <c r="B66" s="1194"/>
      <c r="C66" s="1194"/>
      <c r="D66" s="1194"/>
      <c r="E66" s="1194"/>
      <c r="F66" s="1194"/>
      <c r="G66" s="1195"/>
      <c r="H66" s="1194"/>
      <c r="I66" s="1194"/>
      <c r="J66" s="1194"/>
      <c r="K66" s="330" t="s">
        <v>95</v>
      </c>
      <c r="L66" s="174" t="s">
        <v>3191</v>
      </c>
      <c r="M66" s="113">
        <v>758380774</v>
      </c>
      <c r="N66" s="113">
        <v>526508834</v>
      </c>
      <c r="O66" s="249"/>
      <c r="P66" s="1311"/>
      <c r="Q66" s="1195"/>
      <c r="R66" s="1194"/>
      <c r="S66" s="1194"/>
      <c r="T66" s="1194"/>
      <c r="U66" s="128"/>
      <c r="V66" s="249" t="s">
        <v>95</v>
      </c>
      <c r="W66" s="174" t="s">
        <v>3191</v>
      </c>
      <c r="X66" s="158" t="e">
        <f>+#REF!</f>
        <v>#REF!</v>
      </c>
      <c r="Y66" s="149">
        <v>7254712</v>
      </c>
      <c r="Z66" s="149"/>
      <c r="AA66" s="151">
        <v>211</v>
      </c>
      <c r="AB66" s="157" t="e">
        <f>+#REF!-#REF!</f>
        <v>#REF!</v>
      </c>
      <c r="AC66" s="184" t="s">
        <v>3361</v>
      </c>
    </row>
    <row r="67" spans="1:29" ht="25.5" customHeight="1" x14ac:dyDescent="0.25">
      <c r="A67" s="1194" t="s">
        <v>2814</v>
      </c>
      <c r="B67" s="1194" t="s">
        <v>3138</v>
      </c>
      <c r="C67" s="1194" t="s">
        <v>3030</v>
      </c>
      <c r="D67" s="1194" t="s">
        <v>3259</v>
      </c>
      <c r="E67" s="1194" t="s">
        <v>3032</v>
      </c>
      <c r="F67" s="1194" t="s">
        <v>3193</v>
      </c>
      <c r="G67" s="1195">
        <v>2300000000</v>
      </c>
      <c r="H67" s="1194" t="s">
        <v>3052</v>
      </c>
      <c r="I67" s="1194" t="s">
        <v>3227</v>
      </c>
      <c r="J67" s="1191" t="s">
        <v>3461</v>
      </c>
      <c r="K67" s="2" t="s">
        <v>299</v>
      </c>
      <c r="L67" s="154" t="s">
        <v>300</v>
      </c>
      <c r="M67" s="113"/>
      <c r="N67" s="113"/>
      <c r="O67" s="271"/>
      <c r="P67" s="1195">
        <v>2650000000</v>
      </c>
      <c r="Q67" s="351">
        <v>2750000000</v>
      </c>
      <c r="R67" s="1194" t="s">
        <v>3052</v>
      </c>
      <c r="S67" s="1194" t="s">
        <v>3227</v>
      </c>
      <c r="T67" s="1191" t="s">
        <v>3462</v>
      </c>
      <c r="U67" s="106">
        <v>0</v>
      </c>
      <c r="V67" s="2" t="s">
        <v>299</v>
      </c>
      <c r="W67" s="154" t="s">
        <v>300</v>
      </c>
      <c r="X67" s="158" t="e">
        <f>+#REF!</f>
        <v>#REF!</v>
      </c>
      <c r="Y67" s="149">
        <v>0</v>
      </c>
      <c r="Z67" s="149"/>
      <c r="AA67" s="151">
        <v>211</v>
      </c>
      <c r="AB67" s="157" t="e">
        <f>+#REF!-#REF!</f>
        <v>#REF!</v>
      </c>
      <c r="AC67" s="184" t="s">
        <v>3362</v>
      </c>
    </row>
    <row r="68" spans="1:29" ht="25.5" x14ac:dyDescent="0.25">
      <c r="A68" s="1194"/>
      <c r="B68" s="1194"/>
      <c r="C68" s="1194"/>
      <c r="D68" s="1194"/>
      <c r="E68" s="1194"/>
      <c r="F68" s="1194"/>
      <c r="G68" s="1195"/>
      <c r="H68" s="1194"/>
      <c r="I68" s="1194"/>
      <c r="J68" s="1192"/>
      <c r="K68" s="2"/>
      <c r="L68" s="154" t="s">
        <v>3452</v>
      </c>
      <c r="M68" s="113">
        <v>73635000</v>
      </c>
      <c r="N68" s="113">
        <v>11985910</v>
      </c>
      <c r="O68" s="337"/>
      <c r="P68" s="1195"/>
      <c r="Q68" s="352"/>
      <c r="R68" s="1194"/>
      <c r="S68" s="1194"/>
      <c r="T68" s="1192"/>
      <c r="U68" s="340"/>
      <c r="V68" s="2"/>
      <c r="W68" s="154"/>
      <c r="X68" s="158"/>
      <c r="Y68" s="149"/>
      <c r="Z68" s="149"/>
      <c r="AA68" s="151"/>
      <c r="AB68" s="157"/>
      <c r="AC68" s="184"/>
    </row>
    <row r="69" spans="1:29" ht="39.75" customHeight="1" x14ac:dyDescent="0.25">
      <c r="A69" s="1194"/>
      <c r="B69" s="1194"/>
      <c r="C69" s="1194"/>
      <c r="D69" s="1194"/>
      <c r="E69" s="1194"/>
      <c r="F69" s="1194"/>
      <c r="G69" s="1195"/>
      <c r="H69" s="1194"/>
      <c r="I69" s="1194"/>
      <c r="J69" s="1192"/>
      <c r="K69" s="2" t="s">
        <v>277</v>
      </c>
      <c r="L69" s="154" t="s">
        <v>3251</v>
      </c>
      <c r="M69" s="113"/>
      <c r="N69" s="113"/>
      <c r="O69" s="271"/>
      <c r="P69" s="1195"/>
      <c r="Q69" s="352"/>
      <c r="R69" s="1194"/>
      <c r="S69" s="1194"/>
      <c r="T69" s="1192"/>
      <c r="U69" s="126"/>
      <c r="V69" s="2" t="s">
        <v>277</v>
      </c>
      <c r="W69" s="154" t="s">
        <v>3251</v>
      </c>
      <c r="X69" s="158" t="e">
        <f>+#REF!</f>
        <v>#REF!</v>
      </c>
      <c r="Y69" s="149">
        <v>8293965</v>
      </c>
      <c r="Z69" s="149"/>
      <c r="AA69" s="151">
        <v>211</v>
      </c>
      <c r="AB69" s="157" t="e">
        <f>+#REF!-#REF!</f>
        <v>#REF!</v>
      </c>
      <c r="AC69" s="184" t="s">
        <v>3362</v>
      </c>
    </row>
    <row r="70" spans="1:29" ht="42" customHeight="1" x14ac:dyDescent="0.25">
      <c r="A70" s="1194"/>
      <c r="B70" s="1194"/>
      <c r="C70" s="1194"/>
      <c r="D70" s="1194"/>
      <c r="E70" s="1194"/>
      <c r="F70" s="1194"/>
      <c r="G70" s="1195"/>
      <c r="H70" s="1194"/>
      <c r="I70" s="1194"/>
      <c r="J70" s="1192"/>
      <c r="K70" s="2" t="s">
        <v>180</v>
      </c>
      <c r="L70" s="154" t="s">
        <v>3247</v>
      </c>
      <c r="M70" s="113"/>
      <c r="N70" s="113"/>
      <c r="O70" s="271"/>
      <c r="P70" s="1195"/>
      <c r="Q70" s="352"/>
      <c r="R70" s="1194"/>
      <c r="S70" s="1194"/>
      <c r="T70" s="1192"/>
      <c r="U70" s="126"/>
      <c r="V70" s="2" t="s">
        <v>180</v>
      </c>
      <c r="W70" s="154" t="s">
        <v>3247</v>
      </c>
      <c r="X70" s="158" t="e">
        <f>+#REF!</f>
        <v>#REF!</v>
      </c>
      <c r="Y70" s="149">
        <v>0</v>
      </c>
      <c r="Z70" s="149"/>
      <c r="AA70" s="151">
        <v>211</v>
      </c>
      <c r="AB70" s="157" t="e">
        <f>+#REF!-#REF!</f>
        <v>#REF!</v>
      </c>
      <c r="AC70" s="184" t="s">
        <v>3362</v>
      </c>
    </row>
    <row r="71" spans="1:29" ht="25.5" x14ac:dyDescent="0.25">
      <c r="A71" s="1194"/>
      <c r="B71" s="1194"/>
      <c r="C71" s="1194"/>
      <c r="D71" s="1194"/>
      <c r="E71" s="1194"/>
      <c r="F71" s="1194"/>
      <c r="G71" s="1195"/>
      <c r="H71" s="1194"/>
      <c r="I71" s="1194"/>
      <c r="J71" s="1192"/>
      <c r="K71" s="2"/>
      <c r="L71" s="154" t="s">
        <v>3453</v>
      </c>
      <c r="M71" s="113">
        <v>25000000</v>
      </c>
      <c r="N71" s="113">
        <v>20100400</v>
      </c>
      <c r="O71" s="337"/>
      <c r="P71" s="1195"/>
      <c r="Q71" s="352"/>
      <c r="R71" s="1194"/>
      <c r="S71" s="1194"/>
      <c r="T71" s="1192"/>
      <c r="U71" s="340"/>
      <c r="V71" s="2"/>
      <c r="W71" s="154"/>
      <c r="X71" s="158"/>
      <c r="Y71" s="149"/>
      <c r="Z71" s="149"/>
      <c r="AA71" s="151"/>
      <c r="AB71" s="157"/>
      <c r="AC71" s="184"/>
    </row>
    <row r="72" spans="1:29" ht="40.5" customHeight="1" x14ac:dyDescent="0.25">
      <c r="A72" s="1194"/>
      <c r="B72" s="1194"/>
      <c r="C72" s="1194"/>
      <c r="D72" s="1194"/>
      <c r="E72" s="1194"/>
      <c r="F72" s="1194"/>
      <c r="G72" s="1195"/>
      <c r="H72" s="1194"/>
      <c r="I72" s="1194"/>
      <c r="J72" s="1192"/>
      <c r="K72" s="2" t="s">
        <v>284</v>
      </c>
      <c r="L72" s="154" t="s">
        <v>3255</v>
      </c>
      <c r="M72" s="113"/>
      <c r="N72" s="113"/>
      <c r="O72" s="271"/>
      <c r="P72" s="1195"/>
      <c r="Q72" s="352"/>
      <c r="R72" s="1194"/>
      <c r="S72" s="1194"/>
      <c r="T72" s="1192"/>
      <c r="U72" s="126"/>
      <c r="V72" s="2" t="s">
        <v>284</v>
      </c>
      <c r="W72" s="154" t="s">
        <v>3255</v>
      </c>
      <c r="X72" s="158" t="e">
        <f>+#REF!</f>
        <v>#REF!</v>
      </c>
      <c r="Y72" s="149">
        <v>0</v>
      </c>
      <c r="Z72" s="149"/>
      <c r="AA72" s="151">
        <v>211</v>
      </c>
      <c r="AB72" s="157" t="e">
        <f>+#REF!-#REF!</f>
        <v>#REF!</v>
      </c>
      <c r="AC72" s="184" t="s">
        <v>3363</v>
      </c>
    </row>
    <row r="73" spans="1:29" ht="41.25" customHeight="1" x14ac:dyDescent="0.25">
      <c r="A73" s="1194"/>
      <c r="B73" s="1194"/>
      <c r="C73" s="1194"/>
      <c r="D73" s="1194"/>
      <c r="E73" s="1194"/>
      <c r="F73" s="1194"/>
      <c r="G73" s="1195"/>
      <c r="H73" s="1194"/>
      <c r="I73" s="1194"/>
      <c r="J73" s="1192"/>
      <c r="K73" s="2" t="s">
        <v>289</v>
      </c>
      <c r="L73" s="154" t="s">
        <v>3246</v>
      </c>
      <c r="M73" s="113">
        <v>174000000</v>
      </c>
      <c r="N73" s="113">
        <v>173638600</v>
      </c>
      <c r="O73" s="271"/>
      <c r="P73" s="1195"/>
      <c r="Q73" s="352"/>
      <c r="R73" s="1194"/>
      <c r="S73" s="1194"/>
      <c r="T73" s="1192"/>
      <c r="U73" s="126"/>
      <c r="V73" s="2" t="s">
        <v>289</v>
      </c>
      <c r="W73" s="154" t="s">
        <v>3246</v>
      </c>
      <c r="X73" s="158" t="e">
        <f>+#REF!</f>
        <v>#REF!</v>
      </c>
      <c r="Y73" s="149">
        <v>0</v>
      </c>
      <c r="Z73" s="149"/>
      <c r="AA73" s="151">
        <v>211</v>
      </c>
      <c r="AB73" s="157" t="e">
        <f>+#REF!-#REF!</f>
        <v>#REF!</v>
      </c>
      <c r="AC73" s="184" t="s">
        <v>3363</v>
      </c>
    </row>
    <row r="74" spans="1:29" ht="37.5" customHeight="1" x14ac:dyDescent="0.25">
      <c r="A74" s="1194"/>
      <c r="B74" s="1194"/>
      <c r="C74" s="1194"/>
      <c r="D74" s="1194"/>
      <c r="E74" s="1194"/>
      <c r="F74" s="1194"/>
      <c r="G74" s="1195"/>
      <c r="H74" s="1194"/>
      <c r="I74" s="1194"/>
      <c r="J74" s="1192"/>
      <c r="K74" s="2" t="s">
        <v>294</v>
      </c>
      <c r="L74" s="154" t="s">
        <v>3254</v>
      </c>
      <c r="M74" s="113"/>
      <c r="N74" s="113"/>
      <c r="O74" s="271"/>
      <c r="P74" s="1195"/>
      <c r="Q74" s="352"/>
      <c r="R74" s="1194"/>
      <c r="S74" s="1194"/>
      <c r="T74" s="1192"/>
      <c r="U74" s="126"/>
      <c r="V74" s="2" t="s">
        <v>294</v>
      </c>
      <c r="W74" s="154" t="s">
        <v>3254</v>
      </c>
      <c r="X74" s="158" t="e">
        <f>+#REF!</f>
        <v>#REF!</v>
      </c>
      <c r="Y74" s="149">
        <v>0</v>
      </c>
      <c r="Z74" s="149"/>
      <c r="AA74" s="151">
        <v>211</v>
      </c>
      <c r="AB74" s="157" t="e">
        <f>+#REF!-#REF!</f>
        <v>#REF!</v>
      </c>
      <c r="AC74" s="184" t="s">
        <v>3363</v>
      </c>
    </row>
    <row r="75" spans="1:29" ht="67.5" customHeight="1" x14ac:dyDescent="0.25">
      <c r="A75" s="1194"/>
      <c r="B75" s="1194"/>
      <c r="C75" s="1194"/>
      <c r="D75" s="1194"/>
      <c r="E75" s="1194"/>
      <c r="F75" s="1194"/>
      <c r="G75" s="1195"/>
      <c r="H75" s="1194"/>
      <c r="I75" s="1194"/>
      <c r="J75" s="1192"/>
      <c r="K75" s="2" t="s">
        <v>308</v>
      </c>
      <c r="L75" s="154" t="s">
        <v>3242</v>
      </c>
      <c r="M75" s="113"/>
      <c r="N75" s="113"/>
      <c r="O75" s="271"/>
      <c r="P75" s="1195"/>
      <c r="Q75" s="352"/>
      <c r="R75" s="1194"/>
      <c r="S75" s="1194"/>
      <c r="T75" s="1192"/>
      <c r="U75" s="102"/>
      <c r="V75" s="2" t="s">
        <v>308</v>
      </c>
      <c r="W75" s="154" t="s">
        <v>3242</v>
      </c>
      <c r="X75" s="158" t="e">
        <f>+#REF!</f>
        <v>#REF!</v>
      </c>
      <c r="Y75" s="149">
        <v>0</v>
      </c>
      <c r="Z75" s="149"/>
      <c r="AA75" s="151">
        <v>211</v>
      </c>
      <c r="AB75" s="157" t="e">
        <f>+#REF!-#REF!</f>
        <v>#REF!</v>
      </c>
      <c r="AC75" s="184" t="s">
        <v>3363</v>
      </c>
    </row>
    <row r="76" spans="1:29" ht="39" customHeight="1" x14ac:dyDescent="0.25">
      <c r="A76" s="1194"/>
      <c r="B76" s="1194"/>
      <c r="C76" s="1194"/>
      <c r="D76" s="1194"/>
      <c r="E76" s="1194"/>
      <c r="F76" s="1194"/>
      <c r="G76" s="1195"/>
      <c r="H76" s="1194"/>
      <c r="I76" s="1194"/>
      <c r="J76" s="1192"/>
      <c r="K76" s="2" t="s">
        <v>188</v>
      </c>
      <c r="L76" s="154" t="s">
        <v>3244</v>
      </c>
      <c r="M76" s="113"/>
      <c r="N76" s="113"/>
      <c r="O76" s="271"/>
      <c r="P76" s="1195"/>
      <c r="Q76" s="352"/>
      <c r="R76" s="1194"/>
      <c r="S76" s="1194"/>
      <c r="T76" s="1192"/>
      <c r="U76" s="102"/>
      <c r="V76" s="2" t="s">
        <v>188</v>
      </c>
      <c r="W76" s="154" t="s">
        <v>3244</v>
      </c>
      <c r="X76" s="158" t="e">
        <f>+#REF!</f>
        <v>#REF!</v>
      </c>
      <c r="Y76" s="149">
        <v>0</v>
      </c>
      <c r="Z76" s="149"/>
      <c r="AA76" s="151">
        <v>211</v>
      </c>
      <c r="AB76" s="157" t="e">
        <f>+#REF!-#REF!</f>
        <v>#REF!</v>
      </c>
      <c r="AC76" s="184" t="s">
        <v>3363</v>
      </c>
    </row>
    <row r="77" spans="1:29" ht="66" customHeight="1" x14ac:dyDescent="0.25">
      <c r="A77" s="1194"/>
      <c r="B77" s="1194"/>
      <c r="C77" s="1194"/>
      <c r="D77" s="1194"/>
      <c r="E77" s="1194"/>
      <c r="F77" s="1194"/>
      <c r="G77" s="1195"/>
      <c r="H77" s="1194"/>
      <c r="I77" s="1194"/>
      <c r="J77" s="1192"/>
      <c r="K77" s="2" t="s">
        <v>154</v>
      </c>
      <c r="L77" s="154" t="s">
        <v>155</v>
      </c>
      <c r="M77" s="113"/>
      <c r="N77" s="113"/>
      <c r="O77" s="271"/>
      <c r="P77" s="1195"/>
      <c r="Q77" s="352"/>
      <c r="R77" s="1194"/>
      <c r="S77" s="1194"/>
      <c r="T77" s="1192"/>
      <c r="U77" s="102"/>
      <c r="V77" s="2" t="s">
        <v>154</v>
      </c>
      <c r="W77" s="154" t="s">
        <v>155</v>
      </c>
      <c r="X77" s="158" t="e">
        <f>+#REF!</f>
        <v>#REF!</v>
      </c>
      <c r="Y77" s="149">
        <v>0</v>
      </c>
      <c r="Z77" s="149"/>
      <c r="AA77" s="151">
        <v>211</v>
      </c>
      <c r="AB77" s="157" t="e">
        <f>+#REF!-#REF!</f>
        <v>#REF!</v>
      </c>
      <c r="AC77" s="184" t="s">
        <v>3366</v>
      </c>
    </row>
    <row r="78" spans="1:29" ht="30.75" customHeight="1" x14ac:dyDescent="0.25">
      <c r="A78" s="1194"/>
      <c r="B78" s="1194"/>
      <c r="C78" s="1194"/>
      <c r="D78" s="1194"/>
      <c r="E78" s="1194"/>
      <c r="F78" s="1194"/>
      <c r="G78" s="1195"/>
      <c r="H78" s="1194"/>
      <c r="I78" s="1194"/>
      <c r="J78" s="1192"/>
      <c r="K78" s="2" t="s">
        <v>146</v>
      </c>
      <c r="L78" s="154" t="s">
        <v>3252</v>
      </c>
      <c r="M78" s="113"/>
      <c r="N78" s="113"/>
      <c r="O78" s="271"/>
      <c r="P78" s="1195"/>
      <c r="Q78" s="352"/>
      <c r="R78" s="1194"/>
      <c r="S78" s="1194"/>
      <c r="T78" s="1192"/>
      <c r="U78" s="102"/>
      <c r="V78" s="2" t="s">
        <v>146</v>
      </c>
      <c r="W78" s="154" t="s">
        <v>3252</v>
      </c>
      <c r="X78" s="158" t="e">
        <f>+#REF!</f>
        <v>#REF!</v>
      </c>
      <c r="Y78" s="149">
        <v>0</v>
      </c>
      <c r="Z78" s="149"/>
      <c r="AA78" s="151">
        <v>211</v>
      </c>
      <c r="AB78" s="157" t="e">
        <f>+#REF!-#REF!</f>
        <v>#REF!</v>
      </c>
      <c r="AC78" s="184" t="s">
        <v>3364</v>
      </c>
    </row>
    <row r="79" spans="1:29" ht="31.5" customHeight="1" x14ac:dyDescent="0.25">
      <c r="A79" s="1194"/>
      <c r="B79" s="1194"/>
      <c r="C79" s="1194"/>
      <c r="D79" s="1194"/>
      <c r="E79" s="1194"/>
      <c r="F79" s="1194"/>
      <c r="G79" s="1195"/>
      <c r="H79" s="1194"/>
      <c r="I79" s="1194"/>
      <c r="J79" s="1192"/>
      <c r="K79" s="2" t="s">
        <v>144</v>
      </c>
      <c r="L79" s="154" t="s">
        <v>3256</v>
      </c>
      <c r="M79" s="113"/>
      <c r="N79" s="113"/>
      <c r="O79" s="271"/>
      <c r="P79" s="1195"/>
      <c r="Q79" s="352"/>
      <c r="R79" s="1194"/>
      <c r="S79" s="1194"/>
      <c r="T79" s="1192"/>
      <c r="U79" s="102"/>
      <c r="V79" s="2" t="s">
        <v>144</v>
      </c>
      <c r="W79" s="154" t="s">
        <v>3256</v>
      </c>
      <c r="X79" s="158" t="e">
        <f>+#REF!</f>
        <v>#REF!</v>
      </c>
      <c r="Y79" s="149">
        <v>0</v>
      </c>
      <c r="Z79" s="149"/>
      <c r="AA79" s="151">
        <v>211</v>
      </c>
      <c r="AB79" s="157" t="e">
        <f>+#REF!-#REF!</f>
        <v>#REF!</v>
      </c>
      <c r="AC79" s="184" t="s">
        <v>3364</v>
      </c>
    </row>
    <row r="80" spans="1:29" ht="32.25" customHeight="1" x14ac:dyDescent="0.25">
      <c r="A80" s="1194"/>
      <c r="B80" s="1194"/>
      <c r="C80" s="1194"/>
      <c r="D80" s="1194"/>
      <c r="E80" s="1194"/>
      <c r="F80" s="1194"/>
      <c r="G80" s="1195"/>
      <c r="H80" s="1194"/>
      <c r="I80" s="1194"/>
      <c r="J80" s="1192"/>
      <c r="K80" s="2" t="s">
        <v>142</v>
      </c>
      <c r="L80" s="154" t="s">
        <v>3245</v>
      </c>
      <c r="M80" s="113"/>
      <c r="N80" s="113"/>
      <c r="O80" s="271"/>
      <c r="P80" s="1195"/>
      <c r="Q80" s="352"/>
      <c r="R80" s="1194"/>
      <c r="S80" s="1194"/>
      <c r="T80" s="1192"/>
      <c r="U80" s="102"/>
      <c r="V80" s="2" t="s">
        <v>142</v>
      </c>
      <c r="W80" s="154" t="s">
        <v>3245</v>
      </c>
      <c r="X80" s="158" t="e">
        <f>+#REF!</f>
        <v>#REF!</v>
      </c>
      <c r="Y80" s="149">
        <v>0</v>
      </c>
      <c r="Z80" s="149"/>
      <c r="AA80" s="151">
        <v>211</v>
      </c>
      <c r="AB80" s="157" t="e">
        <f>+#REF!-#REF!</f>
        <v>#REF!</v>
      </c>
      <c r="AC80" s="184" t="s">
        <v>3364</v>
      </c>
    </row>
    <row r="81" spans="1:29" ht="27.75" customHeight="1" x14ac:dyDescent="0.25">
      <c r="A81" s="1194"/>
      <c r="B81" s="1194"/>
      <c r="C81" s="1194"/>
      <c r="D81" s="1194"/>
      <c r="E81" s="1194"/>
      <c r="F81" s="1194"/>
      <c r="G81" s="1195"/>
      <c r="H81" s="1194"/>
      <c r="I81" s="1194"/>
      <c r="J81" s="1192"/>
      <c r="K81" s="2" t="s">
        <v>250</v>
      </c>
      <c r="L81" s="154" t="s">
        <v>251</v>
      </c>
      <c r="M81" s="113"/>
      <c r="N81" s="113"/>
      <c r="O81" s="271"/>
      <c r="P81" s="1195"/>
      <c r="Q81" s="352"/>
      <c r="R81" s="1194"/>
      <c r="S81" s="1194"/>
      <c r="T81" s="1192"/>
      <c r="U81" s="102"/>
      <c r="V81" s="2" t="s">
        <v>250</v>
      </c>
      <c r="W81" s="154" t="s">
        <v>251</v>
      </c>
      <c r="X81" s="158" t="e">
        <f>+#REF!</f>
        <v>#REF!</v>
      </c>
      <c r="Y81" s="149">
        <v>0</v>
      </c>
      <c r="Z81" s="149"/>
      <c r="AA81" s="151">
        <v>211</v>
      </c>
      <c r="AB81" s="157" t="e">
        <f>+#REF!-#REF!</f>
        <v>#REF!</v>
      </c>
      <c r="AC81" s="184" t="s">
        <v>3364</v>
      </c>
    </row>
    <row r="82" spans="1:29" ht="28.5" customHeight="1" x14ac:dyDescent="0.25">
      <c r="A82" s="1194"/>
      <c r="B82" s="1194"/>
      <c r="C82" s="1194"/>
      <c r="D82" s="1194"/>
      <c r="E82" s="1194"/>
      <c r="F82" s="1194"/>
      <c r="G82" s="1195"/>
      <c r="H82" s="1194"/>
      <c r="I82" s="1194"/>
      <c r="J82" s="1192"/>
      <c r="K82" s="2" t="s">
        <v>164</v>
      </c>
      <c r="L82" s="154" t="s">
        <v>165</v>
      </c>
      <c r="M82" s="113"/>
      <c r="N82" s="113"/>
      <c r="O82" s="271"/>
      <c r="P82" s="1195"/>
      <c r="Q82" s="352"/>
      <c r="R82" s="1194"/>
      <c r="S82" s="1194"/>
      <c r="T82" s="1192"/>
      <c r="U82" s="102"/>
      <c r="V82" s="2" t="s">
        <v>164</v>
      </c>
      <c r="W82" s="154" t="s">
        <v>165</v>
      </c>
      <c r="X82" s="158" t="e">
        <f>+#REF!</f>
        <v>#REF!</v>
      </c>
      <c r="Y82" s="149">
        <v>0</v>
      </c>
      <c r="Z82" s="149"/>
      <c r="AA82" s="151">
        <v>211</v>
      </c>
      <c r="AB82" s="157" t="e">
        <f>+#REF!-#REF!</f>
        <v>#REF!</v>
      </c>
      <c r="AC82" s="184" t="s">
        <v>3368</v>
      </c>
    </row>
    <row r="83" spans="1:29" ht="58.5" customHeight="1" x14ac:dyDescent="0.25">
      <c r="A83" s="1194"/>
      <c r="B83" s="1194"/>
      <c r="C83" s="1194"/>
      <c r="D83" s="1194"/>
      <c r="E83" s="1194"/>
      <c r="F83" s="1194"/>
      <c r="G83" s="1195"/>
      <c r="H83" s="1194"/>
      <c r="I83" s="1194"/>
      <c r="J83" s="1192"/>
      <c r="K83" s="2" t="s">
        <v>172</v>
      </c>
      <c r="L83" s="154" t="s">
        <v>3249</v>
      </c>
      <c r="M83" s="113"/>
      <c r="N83" s="113"/>
      <c r="O83" s="271"/>
      <c r="P83" s="1195"/>
      <c r="Q83" s="352"/>
      <c r="R83" s="1194"/>
      <c r="S83" s="1194"/>
      <c r="T83" s="1192"/>
      <c r="U83" s="102"/>
      <c r="V83" s="2" t="s">
        <v>172</v>
      </c>
      <c r="W83" s="154" t="s">
        <v>3249</v>
      </c>
      <c r="X83" s="158" t="e">
        <f>+#REF!</f>
        <v>#REF!</v>
      </c>
      <c r="Y83" s="149">
        <v>0</v>
      </c>
      <c r="Z83" s="149"/>
      <c r="AA83" s="151">
        <v>211</v>
      </c>
      <c r="AB83" s="157" t="e">
        <f>+#REF!-#REF!</f>
        <v>#REF!</v>
      </c>
      <c r="AC83" s="184" t="s">
        <v>3367</v>
      </c>
    </row>
    <row r="84" spans="1:29" ht="37.5" customHeight="1" x14ac:dyDescent="0.25">
      <c r="A84" s="1194"/>
      <c r="B84" s="1194"/>
      <c r="C84" s="1194"/>
      <c r="D84" s="1194"/>
      <c r="E84" s="1194"/>
      <c r="F84" s="1194"/>
      <c r="G84" s="1195"/>
      <c r="H84" s="1194"/>
      <c r="I84" s="1194"/>
      <c r="J84" s="1192"/>
      <c r="K84" s="2" t="s">
        <v>73</v>
      </c>
      <c r="L84" s="154" t="s">
        <v>74</v>
      </c>
      <c r="M84" s="113">
        <v>15000000</v>
      </c>
      <c r="N84" s="113">
        <v>15000000</v>
      </c>
      <c r="O84" s="271"/>
      <c r="P84" s="1195"/>
      <c r="Q84" s="352"/>
      <c r="R84" s="1194"/>
      <c r="S84" s="1194"/>
      <c r="T84" s="1192"/>
      <c r="U84" s="102"/>
      <c r="V84" s="2" t="s">
        <v>73</v>
      </c>
      <c r="W84" s="154" t="s">
        <v>74</v>
      </c>
      <c r="X84" s="158" t="e">
        <f>+#REF!</f>
        <v>#REF!</v>
      </c>
      <c r="Y84" s="149">
        <v>0</v>
      </c>
      <c r="Z84" s="149"/>
      <c r="AA84" s="151">
        <v>211</v>
      </c>
      <c r="AB84" s="157" t="e">
        <f>+#REF!-#REF!</f>
        <v>#REF!</v>
      </c>
      <c r="AC84" s="184" t="s">
        <v>3365</v>
      </c>
    </row>
    <row r="85" spans="1:29" ht="37.5" customHeight="1" x14ac:dyDescent="0.25">
      <c r="A85" s="1194"/>
      <c r="B85" s="1194"/>
      <c r="C85" s="1194"/>
      <c r="D85" s="1194"/>
      <c r="E85" s="1194"/>
      <c r="F85" s="1194"/>
      <c r="G85" s="1195"/>
      <c r="H85" s="1194"/>
      <c r="I85" s="1194"/>
      <c r="J85" s="1192"/>
      <c r="K85" s="2" t="s">
        <v>206</v>
      </c>
      <c r="L85" s="154" t="s">
        <v>3250</v>
      </c>
      <c r="M85" s="113"/>
      <c r="N85" s="113"/>
      <c r="O85" s="271"/>
      <c r="P85" s="1195"/>
      <c r="Q85" s="352"/>
      <c r="R85" s="1194"/>
      <c r="S85" s="1194"/>
      <c r="T85" s="1192"/>
      <c r="U85" s="102"/>
      <c r="V85" s="2" t="s">
        <v>206</v>
      </c>
      <c r="W85" s="154" t="s">
        <v>3250</v>
      </c>
      <c r="X85" s="158" t="e">
        <f>+#REF!</f>
        <v>#REF!</v>
      </c>
      <c r="Y85" s="149">
        <v>0</v>
      </c>
      <c r="Z85" s="149"/>
      <c r="AA85" s="151">
        <v>211</v>
      </c>
      <c r="AB85" s="157" t="e">
        <f>+#REF!-#REF!</f>
        <v>#REF!</v>
      </c>
      <c r="AC85" s="184" t="s">
        <v>3365</v>
      </c>
    </row>
    <row r="86" spans="1:29" ht="51" customHeight="1" x14ac:dyDescent="0.25">
      <c r="A86" s="1194"/>
      <c r="B86" s="1194"/>
      <c r="C86" s="1194"/>
      <c r="D86" s="1194"/>
      <c r="E86" s="1194"/>
      <c r="F86" s="1194"/>
      <c r="G86" s="1195"/>
      <c r="H86" s="1194"/>
      <c r="I86" s="1194"/>
      <c r="J86" s="1192"/>
      <c r="K86" s="2" t="s">
        <v>208</v>
      </c>
      <c r="L86" s="154" t="s">
        <v>3243</v>
      </c>
      <c r="M86" s="113"/>
      <c r="N86" s="113"/>
      <c r="O86" s="271"/>
      <c r="P86" s="1195"/>
      <c r="Q86" s="352"/>
      <c r="R86" s="1194"/>
      <c r="S86" s="1194"/>
      <c r="T86" s="1192"/>
      <c r="U86" s="102"/>
      <c r="V86" s="2" t="s">
        <v>208</v>
      </c>
      <c r="W86" s="154" t="s">
        <v>3243</v>
      </c>
      <c r="X86" s="158" t="e">
        <f>+#REF!</f>
        <v>#REF!</v>
      </c>
      <c r="Y86" s="149">
        <v>0</v>
      </c>
      <c r="Z86" s="149"/>
      <c r="AA86" s="151">
        <v>211</v>
      </c>
      <c r="AB86" s="157" t="e">
        <f>+#REF!-#REF!</f>
        <v>#REF!</v>
      </c>
      <c r="AC86" s="184" t="s">
        <v>3365</v>
      </c>
    </row>
    <row r="87" spans="1:29" ht="31.5" customHeight="1" x14ac:dyDescent="0.25">
      <c r="A87" s="1194"/>
      <c r="B87" s="1194"/>
      <c r="C87" s="1194"/>
      <c r="D87" s="1194"/>
      <c r="E87" s="1194"/>
      <c r="F87" s="1194"/>
      <c r="G87" s="1195"/>
      <c r="H87" s="1194"/>
      <c r="I87" s="1194"/>
      <c r="J87" s="1192"/>
      <c r="K87" s="2" t="s">
        <v>203</v>
      </c>
      <c r="L87" s="154" t="s">
        <v>3257</v>
      </c>
      <c r="M87" s="113"/>
      <c r="N87" s="113"/>
      <c r="O87" s="271"/>
      <c r="P87" s="1195"/>
      <c r="Q87" s="352"/>
      <c r="R87" s="1194"/>
      <c r="S87" s="1194"/>
      <c r="T87" s="1192"/>
      <c r="U87" s="102"/>
      <c r="V87" s="2" t="s">
        <v>203</v>
      </c>
      <c r="W87" s="154" t="s">
        <v>3257</v>
      </c>
      <c r="X87" s="158" t="e">
        <f>+#REF!</f>
        <v>#REF!</v>
      </c>
      <c r="Y87" s="149">
        <v>0</v>
      </c>
      <c r="Z87" s="149"/>
      <c r="AA87" s="151">
        <v>211</v>
      </c>
      <c r="AB87" s="157" t="e">
        <f>+#REF!-#REF!</f>
        <v>#REF!</v>
      </c>
      <c r="AC87" s="184" t="s">
        <v>3365</v>
      </c>
    </row>
    <row r="88" spans="1:29" ht="38.25" x14ac:dyDescent="0.25">
      <c r="A88" s="1194"/>
      <c r="B88" s="1194"/>
      <c r="C88" s="1194"/>
      <c r="D88" s="1194"/>
      <c r="E88" s="1194"/>
      <c r="F88" s="1194"/>
      <c r="G88" s="1195"/>
      <c r="H88" s="1194"/>
      <c r="I88" s="1194"/>
      <c r="J88" s="1192"/>
      <c r="K88" s="2" t="s">
        <v>210</v>
      </c>
      <c r="L88" s="154" t="s">
        <v>3248</v>
      </c>
      <c r="M88" s="113"/>
      <c r="N88" s="113"/>
      <c r="O88" s="271"/>
      <c r="P88" s="1195"/>
      <c r="Q88" s="352"/>
      <c r="R88" s="1194"/>
      <c r="S88" s="1194"/>
      <c r="T88" s="1192"/>
      <c r="U88" s="102"/>
      <c r="V88" s="2" t="s">
        <v>210</v>
      </c>
      <c r="W88" s="154" t="s">
        <v>3248</v>
      </c>
      <c r="X88" s="158" t="e">
        <f>+#REF!</f>
        <v>#REF!</v>
      </c>
      <c r="Y88" s="149">
        <v>0</v>
      </c>
      <c r="Z88" s="149"/>
      <c r="AA88" s="151">
        <v>211</v>
      </c>
      <c r="AB88" s="157" t="e">
        <f>+#REF!-#REF!</f>
        <v>#REF!</v>
      </c>
      <c r="AC88" s="184" t="s">
        <v>3365</v>
      </c>
    </row>
    <row r="89" spans="1:29" ht="41.25" customHeight="1" x14ac:dyDescent="0.25">
      <c r="A89" s="1194" t="s">
        <v>2814</v>
      </c>
      <c r="B89" s="1194" t="s">
        <v>3138</v>
      </c>
      <c r="C89" s="1191" t="s">
        <v>3030</v>
      </c>
      <c r="D89" s="1191" t="s">
        <v>3259</v>
      </c>
      <c r="E89" s="1191" t="s">
        <v>3032</v>
      </c>
      <c r="F89" s="1191" t="s">
        <v>3193</v>
      </c>
      <c r="G89" s="1285"/>
      <c r="H89" s="1191" t="s">
        <v>3052</v>
      </c>
      <c r="I89" s="1191" t="s">
        <v>3227</v>
      </c>
      <c r="J89" s="1194" t="s">
        <v>3461</v>
      </c>
      <c r="K89" s="2" t="s">
        <v>1652</v>
      </c>
      <c r="L89" s="154" t="s">
        <v>3253</v>
      </c>
      <c r="M89" s="113">
        <v>97700000</v>
      </c>
      <c r="N89" s="113">
        <v>56540745</v>
      </c>
      <c r="O89" s="271"/>
      <c r="P89" s="1285"/>
      <c r="Q89" s="352"/>
      <c r="R89" s="1191" t="s">
        <v>3052</v>
      </c>
      <c r="S89" s="1191" t="s">
        <v>3227</v>
      </c>
      <c r="T89" s="1194" t="s">
        <v>3462</v>
      </c>
      <c r="U89" s="102"/>
      <c r="V89" s="2" t="s">
        <v>1652</v>
      </c>
      <c r="W89" s="154" t="s">
        <v>3253</v>
      </c>
      <c r="X89" s="158" t="e">
        <f>+#REF!</f>
        <v>#REF!</v>
      </c>
      <c r="Y89" s="149">
        <v>0</v>
      </c>
      <c r="Z89" s="149"/>
      <c r="AA89" s="151">
        <v>211</v>
      </c>
      <c r="AB89" s="157" t="e">
        <f>+#REF!-#REF!</f>
        <v>#REF!</v>
      </c>
      <c r="AC89" s="184" t="s">
        <v>3369</v>
      </c>
    </row>
    <row r="90" spans="1:29" ht="39" customHeight="1" x14ac:dyDescent="0.25">
      <c r="A90" s="1194"/>
      <c r="B90" s="1194"/>
      <c r="C90" s="1192"/>
      <c r="D90" s="1192"/>
      <c r="E90" s="1192"/>
      <c r="F90" s="1192"/>
      <c r="G90" s="1286"/>
      <c r="H90" s="1192"/>
      <c r="I90" s="1192"/>
      <c r="J90" s="1194"/>
      <c r="K90" s="2" t="s">
        <v>3341</v>
      </c>
      <c r="L90" s="154" t="s">
        <v>3342</v>
      </c>
      <c r="M90" s="113">
        <v>300146151</v>
      </c>
      <c r="N90" s="113">
        <v>244968174</v>
      </c>
      <c r="O90" s="271"/>
      <c r="P90" s="1286"/>
      <c r="Q90" s="353"/>
      <c r="R90" s="1192"/>
      <c r="S90" s="1192"/>
      <c r="T90" s="1194"/>
      <c r="U90" s="102"/>
      <c r="V90" s="2" t="s">
        <v>3341</v>
      </c>
      <c r="W90" s="154" t="s">
        <v>3342</v>
      </c>
      <c r="X90" s="158" t="e">
        <f>+#REF!</f>
        <v>#REF!</v>
      </c>
      <c r="Y90" s="149">
        <v>0</v>
      </c>
      <c r="Z90" s="149"/>
      <c r="AA90" s="151">
        <v>211</v>
      </c>
      <c r="AB90" s="157"/>
      <c r="AC90" s="184" t="s">
        <v>3364</v>
      </c>
    </row>
    <row r="91" spans="1:29" ht="39" customHeight="1" x14ac:dyDescent="0.25">
      <c r="A91" s="1194"/>
      <c r="B91" s="1194"/>
      <c r="C91" s="1192"/>
      <c r="D91" s="1192"/>
      <c r="E91" s="1193"/>
      <c r="F91" s="1193"/>
      <c r="G91" s="1287"/>
      <c r="H91" s="1193"/>
      <c r="I91" s="1193"/>
      <c r="J91" s="1194"/>
      <c r="K91" s="2" t="s">
        <v>3412</v>
      </c>
      <c r="L91" s="154" t="s">
        <v>3413</v>
      </c>
      <c r="M91" s="113"/>
      <c r="N91" s="113"/>
      <c r="O91" s="250"/>
      <c r="P91" s="1287"/>
      <c r="Q91" s="253"/>
      <c r="R91" s="1193"/>
      <c r="S91" s="1193"/>
      <c r="T91" s="1194"/>
      <c r="U91" s="102"/>
      <c r="V91" s="2" t="s">
        <v>3412</v>
      </c>
      <c r="W91" s="154" t="s">
        <v>3413</v>
      </c>
      <c r="X91" s="158" t="e">
        <f>+#REF!</f>
        <v>#REF!</v>
      </c>
      <c r="Y91" s="149">
        <v>0</v>
      </c>
      <c r="Z91" s="149"/>
      <c r="AA91" s="199">
        <v>211</v>
      </c>
      <c r="AB91" s="232"/>
      <c r="AC91" s="184" t="s">
        <v>3365</v>
      </c>
    </row>
    <row r="92" spans="1:29" ht="92.25" customHeight="1" x14ac:dyDescent="0.25">
      <c r="A92" s="1194"/>
      <c r="B92" s="1194"/>
      <c r="C92" s="1193"/>
      <c r="D92" s="1193"/>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194" t="s">
        <v>3408</v>
      </c>
      <c r="B93" s="1194"/>
      <c r="C93" s="1194"/>
      <c r="D93" s="1194"/>
      <c r="E93" s="1194"/>
      <c r="F93" s="1194"/>
      <c r="G93" s="135">
        <f>SUM(G56:G92)</f>
        <v>7265000000</v>
      </c>
      <c r="H93" s="1233"/>
      <c r="I93" s="1248"/>
      <c r="J93" s="1248"/>
      <c r="K93" s="1233"/>
      <c r="L93" s="1248"/>
      <c r="M93" s="332">
        <f>SUM(M56:M92)</f>
        <v>7058962685</v>
      </c>
      <c r="N93" s="332">
        <f>SUM(N56:N92)</f>
        <v>1659830011</v>
      </c>
      <c r="O93" s="267"/>
      <c r="P93" s="135">
        <f>SUM(P56:P92)</f>
        <v>7025000000</v>
      </c>
      <c r="Q93" s="135">
        <f>SUM(Q56:Q92)</f>
        <v>7125000000</v>
      </c>
      <c r="R93" s="1233"/>
      <c r="S93" s="1248"/>
      <c r="T93" s="1248"/>
      <c r="U93" s="1266"/>
      <c r="V93" s="1233"/>
      <c r="W93" s="1248"/>
      <c r="X93" s="133" t="e">
        <f>SUM(X56:X92)</f>
        <v>#REF!</v>
      </c>
      <c r="Y93" s="133" t="e">
        <f>SUM(Y56:Y92)</f>
        <v>#REF!</v>
      </c>
      <c r="Z93" s="133"/>
      <c r="AA93" s="1194"/>
      <c r="AB93" s="1194"/>
      <c r="AC93" s="1194"/>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63"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65"/>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194" t="s">
        <v>3409</v>
      </c>
      <c r="B98" s="1194"/>
      <c r="C98" s="1194"/>
      <c r="D98" s="1194"/>
      <c r="E98" s="1194"/>
      <c r="F98" s="1194"/>
      <c r="G98" s="135">
        <f>SUM(G95:G97)</f>
        <v>65000000</v>
      </c>
      <c r="H98" s="1233"/>
      <c r="I98" s="1248"/>
      <c r="J98" s="1248"/>
      <c r="K98" s="1233"/>
      <c r="L98" s="1248"/>
      <c r="M98" s="341">
        <f>SUM(M95:M97)</f>
        <v>12798885</v>
      </c>
      <c r="N98" s="341">
        <f>SUM(N95:N97)</f>
        <v>11404021</v>
      </c>
      <c r="O98" s="267"/>
      <c r="P98" s="135">
        <f>SUM(P95:P97)</f>
        <v>65000000</v>
      </c>
      <c r="Q98" s="135"/>
      <c r="R98" s="1233"/>
      <c r="S98" s="1248"/>
      <c r="T98" s="1248"/>
      <c r="U98" s="1266"/>
      <c r="V98" s="1233"/>
      <c r="W98" s="1248"/>
      <c r="X98" s="133" t="e">
        <f>SUM(X95:X97)</f>
        <v>#REF!</v>
      </c>
      <c r="Y98" s="133">
        <f>SUM(Y95:Y97)</f>
        <v>61108759</v>
      </c>
      <c r="Z98" s="133"/>
      <c r="AA98" s="1194"/>
      <c r="AB98" s="1194"/>
      <c r="AC98" s="1194"/>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182"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184"/>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83"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84"/>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305"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305"/>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264"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264"/>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264"/>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264"/>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264"/>
    </row>
    <row r="111" spans="1:29" ht="25.5" x14ac:dyDescent="0.25">
      <c r="A111" s="1227" t="s">
        <v>2826</v>
      </c>
      <c r="B111" s="1254" t="s">
        <v>2827</v>
      </c>
      <c r="C111" s="1227" t="s">
        <v>2840</v>
      </c>
      <c r="D111" s="1254" t="s">
        <v>434</v>
      </c>
      <c r="E111" s="1227" t="s">
        <v>2870</v>
      </c>
      <c r="F111" s="1254" t="s">
        <v>3149</v>
      </c>
      <c r="G111" s="1240">
        <v>200000000</v>
      </c>
      <c r="H111" s="1191" t="s">
        <v>2876</v>
      </c>
      <c r="I111" s="1191" t="s">
        <v>3216</v>
      </c>
      <c r="J111" s="1271">
        <v>2</v>
      </c>
      <c r="K111" s="2" t="s">
        <v>78</v>
      </c>
      <c r="L111" s="154" t="s">
        <v>79</v>
      </c>
      <c r="M111" s="113"/>
      <c r="N111" s="113"/>
      <c r="O111" s="271"/>
      <c r="P111" s="1257">
        <v>200000000</v>
      </c>
      <c r="Q111" s="1210">
        <v>200000000</v>
      </c>
      <c r="R111" s="1191" t="s">
        <v>2876</v>
      </c>
      <c r="S111" s="1191" t="s">
        <v>3216</v>
      </c>
      <c r="T111" s="1191">
        <v>2</v>
      </c>
      <c r="U111" s="106">
        <v>0</v>
      </c>
      <c r="V111" s="2" t="s">
        <v>78</v>
      </c>
      <c r="W111" s="154" t="s">
        <v>79</v>
      </c>
      <c r="X111" s="158" t="e">
        <f>+#REF!</f>
        <v>#REF!</v>
      </c>
      <c r="Y111" s="149">
        <v>77177498</v>
      </c>
      <c r="Z111" s="149"/>
      <c r="AA111" s="151">
        <v>301</v>
      </c>
      <c r="AB111" s="157" t="e">
        <f>+#REF!-#REF!</f>
        <v>#REF!</v>
      </c>
      <c r="AC111" s="1264"/>
    </row>
    <row r="112" spans="1:29" ht="25.5" x14ac:dyDescent="0.25">
      <c r="A112" s="1183"/>
      <c r="B112" s="1255"/>
      <c r="C112" s="1183"/>
      <c r="D112" s="1255"/>
      <c r="E112" s="1183"/>
      <c r="F112" s="1255"/>
      <c r="G112" s="1241"/>
      <c r="H112" s="1192"/>
      <c r="I112" s="1192"/>
      <c r="J112" s="1272"/>
      <c r="K112" s="335" t="s">
        <v>127</v>
      </c>
      <c r="L112" s="171" t="s">
        <v>128</v>
      </c>
      <c r="M112" s="113">
        <v>8000000</v>
      </c>
      <c r="N112" s="113">
        <v>8000000</v>
      </c>
      <c r="O112" s="271"/>
      <c r="P112" s="1258"/>
      <c r="Q112" s="1211"/>
      <c r="R112" s="1192"/>
      <c r="S112" s="1192"/>
      <c r="T112" s="1192"/>
      <c r="U112" s="102"/>
      <c r="V112" s="254" t="s">
        <v>127</v>
      </c>
      <c r="W112" s="171" t="s">
        <v>128</v>
      </c>
      <c r="X112" s="158" t="e">
        <f>+#REF!</f>
        <v>#REF!</v>
      </c>
      <c r="Y112" s="149">
        <v>42059368</v>
      </c>
      <c r="Z112" s="149"/>
      <c r="AA112" s="199">
        <v>301</v>
      </c>
      <c r="AB112" s="232" t="e">
        <f>+#REF!-#REF!</f>
        <v>#REF!</v>
      </c>
      <c r="AC112" s="1264"/>
    </row>
    <row r="113" spans="1:29" ht="43.5" customHeight="1" x14ac:dyDescent="0.25">
      <c r="A113" s="1194" t="s">
        <v>3410</v>
      </c>
      <c r="B113" s="1194"/>
      <c r="C113" s="1194"/>
      <c r="D113" s="1194"/>
      <c r="E113" s="1194"/>
      <c r="F113" s="1194"/>
      <c r="G113" s="135">
        <f>SUM(G100:G112)</f>
        <v>1075000000</v>
      </c>
      <c r="H113" s="1233"/>
      <c r="I113" s="1248"/>
      <c r="J113" s="1248"/>
      <c r="K113" s="1233"/>
      <c r="L113" s="1248"/>
      <c r="M113" s="341">
        <f>SUM(M100:M112)</f>
        <v>517695517</v>
      </c>
      <c r="N113" s="341">
        <f>SUM(N100:N112)</f>
        <v>284219985</v>
      </c>
      <c r="O113" s="267"/>
      <c r="P113" s="135">
        <f>SUM(P100:P112)</f>
        <v>1200000000</v>
      </c>
      <c r="Q113" s="135"/>
      <c r="R113" s="1233"/>
      <c r="S113" s="1248"/>
      <c r="T113" s="1248"/>
      <c r="U113" s="1266"/>
      <c r="V113" s="1233" t="s">
        <v>3410</v>
      </c>
      <c r="W113" s="1248"/>
      <c r="X113" s="133" t="e">
        <f>SUM(X100:X112)</f>
        <v>#REF!</v>
      </c>
      <c r="Y113" s="133" t="e">
        <f>SUM(Y100:Y112)</f>
        <v>#REF!</v>
      </c>
      <c r="Z113" s="133"/>
      <c r="AA113" s="1194"/>
      <c r="AB113" s="1194"/>
      <c r="AC113" s="1194"/>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183" t="s">
        <v>2880</v>
      </c>
      <c r="B115" s="1183" t="s">
        <v>3215</v>
      </c>
      <c r="C115" s="1183" t="s">
        <v>2882</v>
      </c>
      <c r="D115" s="1183"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184"/>
      <c r="B116" s="1184"/>
      <c r="C116" s="1184"/>
      <c r="D116" s="1184"/>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194" t="s">
        <v>2880</v>
      </c>
      <c r="B119" s="1194" t="s">
        <v>3215</v>
      </c>
      <c r="C119" s="1194" t="s">
        <v>2892</v>
      </c>
      <c r="D119" s="1194" t="s">
        <v>3209</v>
      </c>
      <c r="E119" s="1194" t="s">
        <v>2901</v>
      </c>
      <c r="F119" s="1194" t="s">
        <v>3157</v>
      </c>
      <c r="G119" s="1195">
        <v>400000000</v>
      </c>
      <c r="H119" s="1196" t="s">
        <v>2909</v>
      </c>
      <c r="I119" s="1194" t="s">
        <v>3211</v>
      </c>
      <c r="J119" s="1194">
        <v>10</v>
      </c>
      <c r="K119" s="109" t="s">
        <v>132</v>
      </c>
      <c r="L119" s="154" t="s">
        <v>133</v>
      </c>
      <c r="M119" s="113"/>
      <c r="N119" s="113"/>
      <c r="O119" s="271"/>
      <c r="P119" s="1195">
        <v>400000000</v>
      </c>
      <c r="Q119" s="351">
        <v>400000000</v>
      </c>
      <c r="R119" s="1196" t="s">
        <v>2909</v>
      </c>
      <c r="S119" s="1194" t="s">
        <v>3211</v>
      </c>
      <c r="T119" s="1191">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194"/>
      <c r="B120" s="1194"/>
      <c r="C120" s="1194"/>
      <c r="D120" s="1194"/>
      <c r="E120" s="1194"/>
      <c r="F120" s="1194"/>
      <c r="G120" s="1195"/>
      <c r="H120" s="1196"/>
      <c r="I120" s="1194"/>
      <c r="J120" s="1194"/>
      <c r="K120" s="109" t="s">
        <v>139</v>
      </c>
      <c r="L120" s="154" t="s">
        <v>140</v>
      </c>
      <c r="M120" s="113"/>
      <c r="N120" s="113"/>
      <c r="O120" s="271"/>
      <c r="P120" s="1195"/>
      <c r="Q120" s="352"/>
      <c r="R120" s="1196"/>
      <c r="S120" s="1194"/>
      <c r="T120" s="1192"/>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194"/>
      <c r="B121" s="1194"/>
      <c r="C121" s="1194"/>
      <c r="D121" s="1194"/>
      <c r="E121" s="1194"/>
      <c r="F121" s="1194"/>
      <c r="G121" s="1195"/>
      <c r="H121" s="1196"/>
      <c r="I121" s="1194"/>
      <c r="J121" s="1194"/>
      <c r="K121" s="109" t="s">
        <v>151</v>
      </c>
      <c r="L121" s="154" t="s">
        <v>152</v>
      </c>
      <c r="M121" s="113"/>
      <c r="N121" s="113"/>
      <c r="O121" s="271"/>
      <c r="P121" s="1195"/>
      <c r="Q121" s="352"/>
      <c r="R121" s="1196"/>
      <c r="S121" s="1194"/>
      <c r="T121" s="1192"/>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194"/>
      <c r="B122" s="1194"/>
      <c r="C122" s="1194"/>
      <c r="D122" s="1194"/>
      <c r="E122" s="1194"/>
      <c r="F122" s="1194"/>
      <c r="G122" s="1195"/>
      <c r="H122" s="1196"/>
      <c r="I122" s="1194"/>
      <c r="J122" s="1194"/>
      <c r="K122" s="109" t="s">
        <v>161</v>
      </c>
      <c r="L122" s="154" t="s">
        <v>162</v>
      </c>
      <c r="M122" s="113"/>
      <c r="N122" s="113"/>
      <c r="O122" s="271"/>
      <c r="P122" s="1195"/>
      <c r="Q122" s="352"/>
      <c r="R122" s="1196"/>
      <c r="S122" s="1194"/>
      <c r="T122" s="1192"/>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194"/>
      <c r="B123" s="1194"/>
      <c r="C123" s="1194"/>
      <c r="D123" s="1194"/>
      <c r="E123" s="1194"/>
      <c r="F123" s="1194"/>
      <c r="G123" s="1195"/>
      <c r="H123" s="1196"/>
      <c r="I123" s="1194"/>
      <c r="J123" s="1194"/>
      <c r="K123" s="109" t="s">
        <v>169</v>
      </c>
      <c r="L123" s="154" t="s">
        <v>3214</v>
      </c>
      <c r="M123" s="113"/>
      <c r="N123" s="113"/>
      <c r="O123" s="271"/>
      <c r="P123" s="1195"/>
      <c r="Q123" s="352"/>
      <c r="R123" s="1196"/>
      <c r="S123" s="1194"/>
      <c r="T123" s="1192"/>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182" t="s">
        <v>2880</v>
      </c>
      <c r="B124" s="1182" t="s">
        <v>3215</v>
      </c>
      <c r="C124" s="1182" t="s">
        <v>2892</v>
      </c>
      <c r="D124" s="1182" t="s">
        <v>3209</v>
      </c>
      <c r="E124" s="1182" t="s">
        <v>2901</v>
      </c>
      <c r="F124" s="1182" t="s">
        <v>3157</v>
      </c>
      <c r="G124" s="1185"/>
      <c r="H124" s="1188" t="s">
        <v>2909</v>
      </c>
      <c r="I124" s="1191" t="s">
        <v>3211</v>
      </c>
      <c r="J124" s="1288"/>
      <c r="K124" s="2" t="s">
        <v>177</v>
      </c>
      <c r="L124" s="154" t="s">
        <v>3158</v>
      </c>
      <c r="M124" s="113">
        <v>35000000</v>
      </c>
      <c r="N124" s="113">
        <v>0</v>
      </c>
      <c r="O124" s="271"/>
      <c r="P124" s="1285"/>
      <c r="Q124" s="352"/>
      <c r="R124" s="1188" t="s">
        <v>2909</v>
      </c>
      <c r="S124" s="1191" t="s">
        <v>3211</v>
      </c>
      <c r="T124" s="1192"/>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183"/>
      <c r="B125" s="1183"/>
      <c r="C125" s="1183"/>
      <c r="D125" s="1183"/>
      <c r="E125" s="1183"/>
      <c r="F125" s="1183"/>
      <c r="G125" s="1186"/>
      <c r="H125" s="1189"/>
      <c r="I125" s="1192"/>
      <c r="J125" s="1236"/>
      <c r="K125" s="2" t="s">
        <v>185</v>
      </c>
      <c r="L125" s="154" t="s">
        <v>3212</v>
      </c>
      <c r="M125" s="113"/>
      <c r="N125" s="113"/>
      <c r="O125" s="271"/>
      <c r="P125" s="1286"/>
      <c r="Q125" s="352"/>
      <c r="R125" s="1189"/>
      <c r="S125" s="1192"/>
      <c r="T125" s="1192"/>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183"/>
      <c r="B126" s="1183"/>
      <c r="C126" s="1183"/>
      <c r="D126" s="1183"/>
      <c r="E126" s="1183"/>
      <c r="F126" s="1183"/>
      <c r="G126" s="1186"/>
      <c r="H126" s="1189"/>
      <c r="I126" s="1192"/>
      <c r="J126" s="1236"/>
      <c r="K126" s="2" t="s">
        <v>101</v>
      </c>
      <c r="L126" s="154" t="s">
        <v>102</v>
      </c>
      <c r="M126" s="113"/>
      <c r="N126" s="113"/>
      <c r="O126" s="271"/>
      <c r="P126" s="1286"/>
      <c r="Q126" s="352"/>
      <c r="R126" s="1189"/>
      <c r="S126" s="1192"/>
      <c r="T126" s="1192"/>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183"/>
      <c r="B127" s="1183"/>
      <c r="C127" s="1183"/>
      <c r="D127" s="1183"/>
      <c r="E127" s="1183"/>
      <c r="F127" s="1183"/>
      <c r="G127" s="1186"/>
      <c r="H127" s="1189"/>
      <c r="I127" s="1192"/>
      <c r="J127" s="1236"/>
      <c r="K127" s="2" t="s">
        <v>99</v>
      </c>
      <c r="L127" s="154" t="s">
        <v>3213</v>
      </c>
      <c r="M127" s="113"/>
      <c r="N127" s="113"/>
      <c r="O127" s="271"/>
      <c r="P127" s="1286"/>
      <c r="Q127" s="352"/>
      <c r="R127" s="1189"/>
      <c r="S127" s="1192"/>
      <c r="T127" s="1192"/>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184"/>
      <c r="B128" s="1184"/>
      <c r="C128" s="1184"/>
      <c r="D128" s="1184"/>
      <c r="E128" s="1184"/>
      <c r="F128" s="1184"/>
      <c r="G128" s="1187"/>
      <c r="H128" s="1190"/>
      <c r="I128" s="1193"/>
      <c r="J128" s="1289"/>
      <c r="K128" s="2" t="s">
        <v>103</v>
      </c>
      <c r="L128" s="154" t="s">
        <v>104</v>
      </c>
      <c r="M128" s="113"/>
      <c r="N128" s="113"/>
      <c r="O128" s="271"/>
      <c r="P128" s="1287"/>
      <c r="Q128" s="348"/>
      <c r="R128" s="1190"/>
      <c r="S128" s="1193"/>
      <c r="T128" s="1193"/>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27" t="s">
        <v>2880</v>
      </c>
      <c r="B131" s="1254" t="s">
        <v>3215</v>
      </c>
      <c r="C131" s="1227" t="s">
        <v>2892</v>
      </c>
      <c r="D131" s="1254" t="s">
        <v>3209</v>
      </c>
      <c r="E131" s="1227" t="s">
        <v>2894</v>
      </c>
      <c r="F131" s="1254" t="s">
        <v>3263</v>
      </c>
      <c r="G131" s="1240">
        <v>600000000</v>
      </c>
      <c r="H131" s="1196" t="s">
        <v>2896</v>
      </c>
      <c r="I131" s="1194" t="s">
        <v>3343</v>
      </c>
      <c r="J131" s="1194">
        <v>50</v>
      </c>
      <c r="K131" s="2" t="s">
        <v>39</v>
      </c>
      <c r="L131" s="154" t="s">
        <v>40</v>
      </c>
      <c r="M131" s="113">
        <v>153569675</v>
      </c>
      <c r="N131" s="113">
        <v>144720628</v>
      </c>
      <c r="O131" s="271"/>
      <c r="P131" s="1257">
        <v>1000000000</v>
      </c>
      <c r="Q131" s="1260">
        <v>1000000000</v>
      </c>
      <c r="R131" s="1196" t="s">
        <v>2896</v>
      </c>
      <c r="S131" s="1194" t="s">
        <v>3343</v>
      </c>
      <c r="T131" s="1194">
        <v>50</v>
      </c>
      <c r="U131" s="106">
        <v>0</v>
      </c>
      <c r="V131" s="2" t="s">
        <v>39</v>
      </c>
      <c r="W131" s="154" t="s">
        <v>40</v>
      </c>
      <c r="X131" s="167" t="e">
        <f>+#REF!</f>
        <v>#REF!</v>
      </c>
      <c r="Y131" s="149">
        <v>115104744</v>
      </c>
      <c r="Z131" s="149"/>
      <c r="AA131" s="151">
        <v>211</v>
      </c>
      <c r="AB131" s="157" t="e">
        <f>+#REF!-#REF!</f>
        <v>#REF!</v>
      </c>
      <c r="AC131" s="1263" t="s">
        <v>3375</v>
      </c>
    </row>
    <row r="132" spans="1:29" ht="25.5" x14ac:dyDescent="0.25">
      <c r="A132" s="1183"/>
      <c r="B132" s="1255"/>
      <c r="C132" s="1183"/>
      <c r="D132" s="1255"/>
      <c r="E132" s="1183"/>
      <c r="F132" s="1255"/>
      <c r="G132" s="1256"/>
      <c r="H132" s="1196"/>
      <c r="I132" s="1194"/>
      <c r="J132" s="1194"/>
      <c r="K132" s="2" t="s">
        <v>33</v>
      </c>
      <c r="L132" s="154" t="s">
        <v>3152</v>
      </c>
      <c r="M132" s="113">
        <v>450996000</v>
      </c>
      <c r="N132" s="113">
        <v>261980256</v>
      </c>
      <c r="O132" s="271"/>
      <c r="P132" s="1259"/>
      <c r="Q132" s="1262"/>
      <c r="R132" s="1196"/>
      <c r="S132" s="1194"/>
      <c r="T132" s="1194"/>
      <c r="U132" s="102"/>
      <c r="V132" s="2" t="s">
        <v>33</v>
      </c>
      <c r="W132" s="154" t="s">
        <v>3152</v>
      </c>
      <c r="X132" s="167" t="e">
        <f>+#REF!</f>
        <v>#REF!</v>
      </c>
      <c r="Y132" s="149">
        <v>0</v>
      </c>
      <c r="Z132" s="149"/>
      <c r="AA132" s="151">
        <v>211</v>
      </c>
      <c r="AB132" s="157" t="e">
        <f>+#REF!-#REF!</f>
        <v>#REF!</v>
      </c>
      <c r="AC132" s="1264"/>
    </row>
    <row r="133" spans="1:29" ht="38.25" x14ac:dyDescent="0.25">
      <c r="A133" s="1184"/>
      <c r="B133" s="1279"/>
      <c r="C133" s="1184"/>
      <c r="D133" s="1279"/>
      <c r="E133" s="1184"/>
      <c r="F133" s="1279"/>
      <c r="G133" s="1280"/>
      <c r="H133" s="1196"/>
      <c r="I133" s="1194"/>
      <c r="J133" s="1194"/>
      <c r="K133" s="335" t="s">
        <v>35</v>
      </c>
      <c r="L133" s="171" t="s">
        <v>3151</v>
      </c>
      <c r="M133" s="113"/>
      <c r="N133" s="113"/>
      <c r="O133" s="271"/>
      <c r="P133" s="1281"/>
      <c r="Q133" s="1282"/>
      <c r="R133" s="1196"/>
      <c r="S133" s="1194"/>
      <c r="T133" s="1194"/>
      <c r="U133" s="103"/>
      <c r="V133" s="254" t="s">
        <v>35</v>
      </c>
      <c r="W133" s="171" t="s">
        <v>3151</v>
      </c>
      <c r="X133" s="167" t="e">
        <f>+#REF!</f>
        <v>#REF!</v>
      </c>
      <c r="Y133" s="149">
        <v>23418092</v>
      </c>
      <c r="Z133" s="149"/>
      <c r="AA133" s="199">
        <v>211</v>
      </c>
      <c r="AB133" s="232" t="e">
        <f>+#REF!-#REF!</f>
        <v>#REF!</v>
      </c>
      <c r="AC133" s="1264"/>
    </row>
    <row r="134" spans="1:29" ht="32.25" customHeight="1" x14ac:dyDescent="0.25">
      <c r="A134" s="1194" t="s">
        <v>3411</v>
      </c>
      <c r="B134" s="1194"/>
      <c r="C134" s="1194"/>
      <c r="D134" s="1194"/>
      <c r="E134" s="1194"/>
      <c r="F134" s="1194"/>
      <c r="G134" s="135">
        <f>SUM(G115:G133)</f>
        <v>1255000000</v>
      </c>
      <c r="H134" s="1233"/>
      <c r="I134" s="1248"/>
      <c r="J134" s="1248"/>
      <c r="K134" s="1233"/>
      <c r="L134" s="1248"/>
      <c r="M134" s="341">
        <f>SUM(M115:M133)</f>
        <v>656242322</v>
      </c>
      <c r="N134" s="341">
        <f>SUM(N115:N133)</f>
        <v>422930468</v>
      </c>
      <c r="O134" s="267"/>
      <c r="P134" s="135">
        <f>SUM(P115:P133)</f>
        <v>1835000000</v>
      </c>
      <c r="Q134" s="135"/>
      <c r="R134" s="1233"/>
      <c r="S134" s="1248"/>
      <c r="T134" s="1248"/>
      <c r="U134" s="1266"/>
      <c r="V134" s="1233"/>
      <c r="W134" s="1248"/>
      <c r="X134" s="133" t="e">
        <f>SUM(X115:X133)</f>
        <v>#REF!</v>
      </c>
      <c r="Y134" s="133" t="e">
        <f>SUM(Y115:Y133)</f>
        <v>#REF!</v>
      </c>
      <c r="Z134" s="133"/>
      <c r="AA134" s="1194"/>
      <c r="AB134" s="1194"/>
      <c r="AC134" s="1194"/>
    </row>
    <row r="135" spans="1:29" ht="20.25" customHeight="1" x14ac:dyDescent="0.25">
      <c r="A135" s="1303"/>
      <c r="B135" s="1303"/>
      <c r="C135" s="1303"/>
      <c r="D135" s="1303"/>
      <c r="E135" s="1303"/>
      <c r="F135" s="1303"/>
      <c r="G135" s="281"/>
      <c r="H135" s="1304"/>
      <c r="I135" s="1304"/>
      <c r="J135" s="1304"/>
      <c r="K135" s="279"/>
      <c r="L135" s="279"/>
      <c r="M135" s="279"/>
      <c r="N135" s="279"/>
      <c r="O135" s="279"/>
      <c r="P135" s="281"/>
      <c r="Q135" s="281"/>
      <c r="R135" s="1304"/>
      <c r="S135" s="1304"/>
      <c r="T135" s="1304"/>
      <c r="U135" s="280"/>
      <c r="V135" s="1303"/>
      <c r="W135" s="1303"/>
      <c r="X135" s="1303"/>
      <c r="Y135" s="1303"/>
      <c r="Z135" s="1303"/>
      <c r="AA135" s="1303"/>
      <c r="AB135" s="282"/>
      <c r="AC135" s="282"/>
    </row>
    <row r="136" spans="1:29" ht="15" customHeight="1" x14ac:dyDescent="0.25">
      <c r="A136" s="1194" t="s">
        <v>622</v>
      </c>
      <c r="B136" s="1194"/>
      <c r="C136" s="1194"/>
      <c r="D136" s="1194"/>
      <c r="E136" s="1194"/>
      <c r="F136" s="1194"/>
      <c r="G136" s="135">
        <f>+G134+G113+G98+G93+G54+G21+G9</f>
        <v>13293000000</v>
      </c>
      <c r="H136" s="1233"/>
      <c r="I136" s="1248"/>
      <c r="J136" s="1248"/>
      <c r="K136" s="1233"/>
      <c r="L136" s="1248"/>
      <c r="M136" s="133"/>
      <c r="N136" s="133"/>
      <c r="O136" s="267"/>
      <c r="P136" s="341">
        <f>+P134+P113+P98+P93+P54+P21+P9</f>
        <v>14034000000</v>
      </c>
      <c r="Q136" s="135">
        <f>SUM(Q4:Q133)</f>
        <v>23079000000</v>
      </c>
      <c r="R136" s="1233"/>
      <c r="S136" s="1248"/>
      <c r="T136" s="1248"/>
      <c r="U136" s="1266"/>
      <c r="V136" s="1233" t="s">
        <v>622</v>
      </c>
      <c r="W136" s="1248"/>
      <c r="X136" s="341" t="e">
        <f>+X134+X113+X98+X93+X54+X21+X9</f>
        <v>#REF!</v>
      </c>
      <c r="Y136" s="341" t="e">
        <f>+Y134+Y113+Y98+Y93+Y54+Y21+Y9</f>
        <v>#REF!</v>
      </c>
      <c r="Z136" s="133"/>
      <c r="AA136" s="1194"/>
      <c r="AB136" s="1194" t="e">
        <f>+#REF!-#REF!</f>
        <v>#REF!</v>
      </c>
      <c r="AC136" s="1194"/>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76" t="s">
        <v>3302</v>
      </c>
      <c r="B138" s="1277"/>
      <c r="C138" s="1277"/>
      <c r="D138" s="1277"/>
      <c r="E138" s="1277"/>
      <c r="F138" s="1278"/>
      <c r="G138" s="133">
        <f>SUMIF($AA$4:$AA$133,"111",$G$4:$G$133)</f>
        <v>4710000000</v>
      </c>
      <c r="H138" s="178"/>
      <c r="I138" s="178"/>
      <c r="J138" s="178"/>
      <c r="K138" s="178"/>
      <c r="L138" s="178"/>
      <c r="M138" s="178"/>
      <c r="N138" s="178"/>
      <c r="O138" s="178"/>
      <c r="P138" s="178">
        <f>SUMIF($AA$4:$AA$133,"111",$P$4:$P$133)</f>
        <v>3690000000</v>
      </c>
      <c r="Q138" s="133">
        <f>SUMIF($AA$4:$AA$133,"111",$Q$4:$Q$133)</f>
        <v>3690000000</v>
      </c>
      <c r="R138" s="1276" t="s">
        <v>3302</v>
      </c>
      <c r="S138" s="1277"/>
      <c r="T138" s="1277"/>
      <c r="U138" s="1277"/>
      <c r="V138" s="1277"/>
      <c r="W138" s="1278"/>
      <c r="X138" s="133" t="e">
        <f>SUMIF($AA$4:$AA$133,"111",$X$4:$X$133)</f>
        <v>#REF!</v>
      </c>
      <c r="Y138" s="133" t="e">
        <f>SUMIF($AA$4:$AA$133,"111",$Y$4:$Y$133)</f>
        <v>#REF!</v>
      </c>
      <c r="Z138" s="133"/>
      <c r="AA138" s="264">
        <v>111</v>
      </c>
      <c r="AB138" s="133" t="e">
        <f>SUMIF($AA$4:$AA$133,"111",$AB$4:$AB$133)</f>
        <v>#REF!</v>
      </c>
      <c r="AC138" s="133"/>
    </row>
    <row r="139" spans="1:29" ht="29.25" customHeight="1" x14ac:dyDescent="0.25">
      <c r="A139" s="1276" t="s">
        <v>3303</v>
      </c>
      <c r="B139" s="1277"/>
      <c r="C139" s="1277"/>
      <c r="D139" s="1277"/>
      <c r="E139" s="1277"/>
      <c r="F139" s="1278"/>
      <c r="G139" s="133">
        <f>SUMIF($AA$4:$AA$133,"211",$G$4:$G$133)</f>
        <v>3650000000</v>
      </c>
      <c r="H139" s="178"/>
      <c r="I139" s="178"/>
      <c r="J139" s="178"/>
      <c r="K139" s="178"/>
      <c r="L139" s="178"/>
      <c r="M139" s="178"/>
      <c r="N139" s="178"/>
      <c r="O139" s="178"/>
      <c r="P139" s="178">
        <f>SUMIF($AA$4:$AA$133,"211",$P$4:$P$133)</f>
        <v>4830000000</v>
      </c>
      <c r="Q139" s="133">
        <f>SUMIF($AA$4:$AA$133,"211",$Q$4:$Q$133)</f>
        <v>4930000000</v>
      </c>
      <c r="R139" s="1276" t="s">
        <v>3303</v>
      </c>
      <c r="S139" s="1277"/>
      <c r="T139" s="1277"/>
      <c r="U139" s="1277"/>
      <c r="V139" s="1277"/>
      <c r="W139" s="1278"/>
      <c r="X139" s="133" t="e">
        <f>SUMIF($AA$4:$AA$133,"211",$X$4:$X$133)</f>
        <v>#REF!</v>
      </c>
      <c r="Y139" s="133" t="e">
        <f>SUMIF($AA$4:$AA$133,"211",$Y$4:$Y$133)</f>
        <v>#REF!</v>
      </c>
      <c r="Z139" s="133"/>
      <c r="AA139" s="264">
        <v>211</v>
      </c>
      <c r="AB139" s="133" t="e">
        <f>SUMIF($AA$4:$AA$133,"211",$AB$4:$AB$133)</f>
        <v>#REF!</v>
      </c>
      <c r="AC139" s="133"/>
    </row>
    <row r="140" spans="1:29" ht="30" customHeight="1" x14ac:dyDescent="0.25">
      <c r="A140" s="1276" t="s">
        <v>3304</v>
      </c>
      <c r="B140" s="1277"/>
      <c r="C140" s="1277"/>
      <c r="D140" s="1277"/>
      <c r="E140" s="1277"/>
      <c r="F140" s="1278"/>
      <c r="G140" s="133">
        <f>SUMIF($AA$4:$AA$133,"310",$G$4:$G$133)</f>
        <v>1210000000</v>
      </c>
      <c r="H140" s="178"/>
      <c r="I140" s="178"/>
      <c r="J140" s="178"/>
      <c r="K140" s="178"/>
      <c r="L140" s="178"/>
      <c r="M140" s="178"/>
      <c r="N140" s="178"/>
      <c r="O140" s="178"/>
      <c r="P140" s="178">
        <f>SUMIF($AA$4:$AA$133,"310",$P$4:$P$133)</f>
        <v>1310000000</v>
      </c>
      <c r="Q140" s="133">
        <f>SUMIF($AA$4:$AA$133,"310",$Q$4:$Q$133)</f>
        <v>1310000000</v>
      </c>
      <c r="R140" s="1276" t="s">
        <v>3304</v>
      </c>
      <c r="S140" s="1277"/>
      <c r="T140" s="1277"/>
      <c r="U140" s="1277"/>
      <c r="V140" s="1277"/>
      <c r="W140" s="1278"/>
      <c r="X140" s="133" t="e">
        <f>SUMIF($AA$4:$AA$133,"310",$X$4:$X$133)</f>
        <v>#REF!</v>
      </c>
      <c r="Y140" s="133" t="e">
        <f>SUMIF($AA$4:$AA$133,"310",$Y$4:$Y$133)</f>
        <v>#REF!</v>
      </c>
      <c r="Z140" s="133"/>
      <c r="AA140" s="264">
        <v>310</v>
      </c>
      <c r="AB140" s="133" t="e">
        <f>SUMIF($AA$4:$AA$133,"310",$AB$4:$AB$133)</f>
        <v>#REF!</v>
      </c>
      <c r="AC140" s="133"/>
    </row>
    <row r="141" spans="1:29" x14ac:dyDescent="0.25">
      <c r="A141" s="1273" t="s">
        <v>443</v>
      </c>
      <c r="B141" s="1274"/>
      <c r="C141" s="1274"/>
      <c r="D141" s="1274"/>
      <c r="E141" s="1274"/>
      <c r="F141" s="1275"/>
      <c r="G141" s="133">
        <f>SUMIF($AA$4:$AA$133,"410",$G$4:$G$133)</f>
        <v>1658000000</v>
      </c>
      <c r="H141" s="178"/>
      <c r="I141" s="178"/>
      <c r="J141" s="178"/>
      <c r="K141" s="178"/>
      <c r="L141" s="178"/>
      <c r="M141" s="178"/>
      <c r="N141" s="178"/>
      <c r="O141" s="178"/>
      <c r="P141" s="178">
        <f>SUMIF($AA$4:$AA$133,"410",$P$4:$P$133)</f>
        <v>1823000000</v>
      </c>
      <c r="Q141" s="133">
        <f>SUMIF($AA$4:$AA$133,"410",$Q$4:$Q$133)</f>
        <v>1823000000</v>
      </c>
      <c r="R141" s="1273" t="s">
        <v>443</v>
      </c>
      <c r="S141" s="1274"/>
      <c r="T141" s="1274"/>
      <c r="U141" s="1274"/>
      <c r="V141" s="1274"/>
      <c r="W141" s="1275"/>
      <c r="X141" s="133" t="e">
        <f>SUMIF($AA$4:$AA$133,"410",$X$4:$X$133)</f>
        <v>#REF!</v>
      </c>
      <c r="Y141" s="133" t="e">
        <f>SUMIF($AA$4:$AA$133,"410",$Y$4:$Y$133)</f>
        <v>#REF!</v>
      </c>
      <c r="Z141" s="133"/>
      <c r="AA141" s="264">
        <v>410</v>
      </c>
      <c r="AB141" s="133" t="e">
        <f>SUMIF($AA$4:$AA$133,"410",$AB$4:$AB$133)</f>
        <v>#REF!</v>
      </c>
      <c r="AC141" s="133"/>
    </row>
    <row r="142" spans="1:29" x14ac:dyDescent="0.25">
      <c r="A142" s="1273" t="s">
        <v>3305</v>
      </c>
      <c r="B142" s="1274"/>
      <c r="C142" s="1274"/>
      <c r="D142" s="1274"/>
      <c r="E142" s="1274"/>
      <c r="F142" s="1275"/>
      <c r="G142" s="133">
        <f>SUMIF($AA$4:$AA$133,"510",$G$4:$G$133)</f>
        <v>870000000</v>
      </c>
      <c r="H142" s="178"/>
      <c r="I142" s="178"/>
      <c r="J142" s="178"/>
      <c r="K142" s="178"/>
      <c r="L142" s="178"/>
      <c r="M142" s="178"/>
      <c r="N142" s="178"/>
      <c r="O142" s="178"/>
      <c r="P142" s="178">
        <f>SUMIF($AA$4:$AA$133,"510",$P$4:$P$133)</f>
        <v>1041000000</v>
      </c>
      <c r="Q142" s="133">
        <f>SUMIF($AA$4:$AA$133,"510",$Q$4:$Q$133)</f>
        <v>1191000000</v>
      </c>
      <c r="R142" s="1273" t="s">
        <v>3305</v>
      </c>
      <c r="S142" s="1274"/>
      <c r="T142" s="1274"/>
      <c r="U142" s="1274"/>
      <c r="V142" s="1274"/>
      <c r="W142" s="1275"/>
      <c r="X142" s="133" t="e">
        <f>SUMIF($AA$4:$AA$133,"510",$X$4:$X$133)</f>
        <v>#REF!</v>
      </c>
      <c r="Y142" s="133" t="e">
        <f>SUMIF($AA$4:$AA$133,"510",$Y$4:$Y$133)</f>
        <v>#REF!</v>
      </c>
      <c r="Z142" s="133"/>
      <c r="AA142" s="264">
        <v>510</v>
      </c>
      <c r="AB142" s="133" t="e">
        <f>SUMIF($AA$4:$AA$133,"510",$AB$4:$AB$133)</f>
        <v>#REF!</v>
      </c>
      <c r="AC142" s="133"/>
    </row>
    <row r="143" spans="1:29" x14ac:dyDescent="0.25">
      <c r="A143" s="1273" t="s">
        <v>3306</v>
      </c>
      <c r="B143" s="1274"/>
      <c r="C143" s="1274"/>
      <c r="D143" s="1274"/>
      <c r="E143" s="1274"/>
      <c r="F143" s="1275"/>
      <c r="G143" s="133">
        <f>SUMIF($AA$4:$AA$133,"520",$G$4:$G$133)</f>
        <v>285000000</v>
      </c>
      <c r="H143" s="178"/>
      <c r="I143" s="178"/>
      <c r="J143" s="178"/>
      <c r="K143" s="178"/>
      <c r="L143" s="178"/>
      <c r="M143" s="178"/>
      <c r="N143" s="178"/>
      <c r="O143" s="178"/>
      <c r="P143" s="178">
        <f>SUMIF($AA$4:$AA$133,"520",$P$4:$P$133)</f>
        <v>305000000</v>
      </c>
      <c r="Q143" s="133">
        <f>SUMIF($AA$4:$AA$133,"520",$Q$4:$Q$133)</f>
        <v>305000000</v>
      </c>
      <c r="R143" s="1273" t="s">
        <v>3306</v>
      </c>
      <c r="S143" s="1274"/>
      <c r="T143" s="1274"/>
      <c r="U143" s="1274"/>
      <c r="V143" s="1274"/>
      <c r="W143" s="1275"/>
      <c r="X143" s="133" t="e">
        <f>SUMIF($AA$4:$AA$133,"520",$X$4:$X$133)</f>
        <v>#REF!</v>
      </c>
      <c r="Y143" s="133" t="e">
        <f>SUMIF($AA$4:$AA$133,"520",$Y$4:$Y$133)</f>
        <v>#REF!</v>
      </c>
      <c r="Z143" s="133"/>
      <c r="AA143" s="264">
        <v>520</v>
      </c>
      <c r="AB143" s="133" t="e">
        <f>SUMIF($AA$4:$AA$133,"520",$AB$4:$AB$133)</f>
        <v>#REF!</v>
      </c>
      <c r="AC143" s="133"/>
    </row>
    <row r="144" spans="1:29" x14ac:dyDescent="0.25">
      <c r="A144" s="1273" t="s">
        <v>3308</v>
      </c>
      <c r="B144" s="1274"/>
      <c r="C144" s="1274"/>
      <c r="D144" s="1274"/>
      <c r="E144" s="1274"/>
      <c r="F144" s="1275"/>
      <c r="G144" s="3">
        <f>SUM(G138:G143)</f>
        <v>12383000000</v>
      </c>
      <c r="H144" s="179"/>
      <c r="I144" s="179"/>
      <c r="J144" s="179"/>
      <c r="K144" s="179"/>
      <c r="L144" s="179"/>
      <c r="M144" s="179"/>
      <c r="N144" s="179"/>
      <c r="O144" s="179"/>
      <c r="P144" s="179">
        <f>SUM(P138:P143)</f>
        <v>12999000000</v>
      </c>
      <c r="Q144" s="3">
        <f>SUM(Q138:Q143)</f>
        <v>13249000000</v>
      </c>
      <c r="R144" s="1273" t="s">
        <v>3308</v>
      </c>
      <c r="S144" s="1274"/>
      <c r="T144" s="1274"/>
      <c r="U144" s="1274"/>
      <c r="V144" s="1274"/>
      <c r="W144" s="1275"/>
      <c r="X144" s="3" t="e">
        <f>SUM(X138:X143)</f>
        <v>#REF!</v>
      </c>
      <c r="Y144" s="3" t="e">
        <f>SUM(Y138:Y143)</f>
        <v>#REF!</v>
      </c>
      <c r="Z144" s="3"/>
      <c r="AA144" s="4"/>
      <c r="AB144" s="3" t="e">
        <f>SUM(AB138:AB143)</f>
        <v>#REF!</v>
      </c>
      <c r="AC144" s="3"/>
    </row>
    <row r="145" spans="1:29" x14ac:dyDescent="0.25">
      <c r="A145" s="1273" t="s">
        <v>3307</v>
      </c>
      <c r="B145" s="1274"/>
      <c r="C145" s="1274"/>
      <c r="D145" s="1274"/>
      <c r="E145" s="1274"/>
      <c r="F145" s="1275"/>
      <c r="G145" s="133">
        <f>SUMIF($AA$4:$AA$133,"301",$G$4:$G$133)</f>
        <v>910000000</v>
      </c>
      <c r="H145" s="178"/>
      <c r="I145" s="178"/>
      <c r="J145" s="178"/>
      <c r="K145" s="178"/>
      <c r="L145" s="178"/>
      <c r="M145" s="178"/>
      <c r="N145" s="178"/>
      <c r="O145" s="178"/>
      <c r="P145" s="178">
        <f>SUMIF($AA$4:$AA$133,"301",$P$4:$P$133)</f>
        <v>1035000000</v>
      </c>
      <c r="Q145" s="133">
        <f>SUMIF($AA$4:$AA$133,"301",$Q$4:$Q$133)</f>
        <v>1035000000</v>
      </c>
      <c r="R145" s="1273" t="s">
        <v>3307</v>
      </c>
      <c r="S145" s="1274"/>
      <c r="T145" s="1274"/>
      <c r="U145" s="1274"/>
      <c r="V145" s="1274"/>
      <c r="W145" s="1275"/>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H67:H88"/>
    <mergeCell ref="I67:I88"/>
    <mergeCell ref="J67:J88"/>
    <mergeCell ref="F63:F66"/>
    <mergeCell ref="G63:G66"/>
    <mergeCell ref="A63:A66"/>
    <mergeCell ref="B63:B66"/>
    <mergeCell ref="C63:C66"/>
    <mergeCell ref="D63:D66"/>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A131:A133"/>
    <mergeCell ref="B131:B133"/>
    <mergeCell ref="C131:C133"/>
    <mergeCell ref="D131:D133"/>
    <mergeCell ref="E131:E133"/>
    <mergeCell ref="F131:F133"/>
    <mergeCell ref="G131:G133"/>
    <mergeCell ref="P131:P133"/>
    <mergeCell ref="Q131:Q133"/>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S63:S66"/>
    <mergeCell ref="A60:A62"/>
    <mergeCell ref="B60:B62"/>
    <mergeCell ref="C60:C62"/>
    <mergeCell ref="D60:D62"/>
    <mergeCell ref="E60:E62"/>
    <mergeCell ref="F60:F62"/>
    <mergeCell ref="G60:G62"/>
    <mergeCell ref="P60:P62"/>
    <mergeCell ref="H60:H62"/>
    <mergeCell ref="H63:H66"/>
    <mergeCell ref="I63:I66"/>
    <mergeCell ref="J63:J66"/>
    <mergeCell ref="AC60:AC61"/>
    <mergeCell ref="G56:G58"/>
    <mergeCell ref="P56:P58"/>
    <mergeCell ref="Q56:Q58"/>
    <mergeCell ref="R56:R58"/>
    <mergeCell ref="S56:S58"/>
    <mergeCell ref="T56:T58"/>
    <mergeCell ref="Q60:Q62"/>
    <mergeCell ref="R60:R62"/>
    <mergeCell ref="J43:J46"/>
    <mergeCell ref="P43:P46"/>
    <mergeCell ref="R43:R46"/>
    <mergeCell ref="S43:S46"/>
    <mergeCell ref="T43:T46"/>
    <mergeCell ref="H54:J54"/>
    <mergeCell ref="H56:H58"/>
    <mergeCell ref="I56:I58"/>
    <mergeCell ref="J56:J58"/>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J33:J39"/>
    <mergeCell ref="A23:A26"/>
    <mergeCell ref="B23:B26"/>
    <mergeCell ref="C23:C26"/>
    <mergeCell ref="D23:D26"/>
    <mergeCell ref="E23:E24"/>
    <mergeCell ref="F23:F24"/>
    <mergeCell ref="AC23:AC25"/>
    <mergeCell ref="H21:J21"/>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C4:C8"/>
    <mergeCell ref="D4:D8"/>
    <mergeCell ref="E6:E8"/>
    <mergeCell ref="F6:F8"/>
    <mergeCell ref="G6:G8"/>
    <mergeCell ref="H9:J9"/>
    <mergeCell ref="P2:P3"/>
    <mergeCell ref="H2:J2"/>
    <mergeCell ref="H6:H8"/>
    <mergeCell ref="I6:I8"/>
    <mergeCell ref="J6:J8"/>
    <mergeCell ref="A9:F9"/>
    <mergeCell ref="Q2:Q3"/>
    <mergeCell ref="R2:U2"/>
    <mergeCell ref="V2:X2"/>
    <mergeCell ref="AC1:AC3"/>
    <mergeCell ref="AB2:AB3"/>
    <mergeCell ref="P6:P8"/>
    <mergeCell ref="Q6:Q8"/>
    <mergeCell ref="R6:R8"/>
    <mergeCell ref="S6:S8"/>
    <mergeCell ref="T6:T8"/>
    <mergeCell ref="Y2:Z2"/>
    <mergeCell ref="V1:Z1"/>
    <mergeCell ref="AA1:AA3"/>
    <mergeCell ref="P1:T1"/>
    <mergeCell ref="A119:A123"/>
    <mergeCell ref="B119:B123"/>
    <mergeCell ref="C119:C123"/>
    <mergeCell ref="D119:D123"/>
    <mergeCell ref="E119:E123"/>
    <mergeCell ref="F119:F123"/>
    <mergeCell ref="G119:G123"/>
    <mergeCell ref="H119:H123"/>
    <mergeCell ref="I119:I123"/>
    <mergeCell ref="A124:A128"/>
    <mergeCell ref="B124:B128"/>
    <mergeCell ref="C124:C128"/>
    <mergeCell ref="D124:D128"/>
    <mergeCell ref="E124:E128"/>
    <mergeCell ref="F124:F128"/>
    <mergeCell ref="G124:G128"/>
    <mergeCell ref="H124:H128"/>
    <mergeCell ref="I124:I128"/>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23" t="s">
        <v>447</v>
      </c>
      <c r="B1" s="1325" t="s">
        <v>2733</v>
      </c>
      <c r="C1" s="1319" t="s">
        <v>3418</v>
      </c>
      <c r="D1" s="492"/>
      <c r="E1" s="1312" t="s">
        <v>3430</v>
      </c>
      <c r="F1" s="1312" t="s">
        <v>3431</v>
      </c>
      <c r="G1" s="1319" t="s">
        <v>3418</v>
      </c>
      <c r="H1" s="493"/>
      <c r="I1" s="1312" t="s">
        <v>3430</v>
      </c>
      <c r="J1" s="1314" t="s">
        <v>3734</v>
      </c>
      <c r="K1" s="494"/>
      <c r="L1" s="1312" t="s">
        <v>3430</v>
      </c>
      <c r="M1" s="1316" t="s">
        <v>3735</v>
      </c>
      <c r="N1" s="1318" t="s">
        <v>3425</v>
      </c>
      <c r="O1" s="1318"/>
      <c r="P1" s="1318"/>
      <c r="Q1" s="1318"/>
      <c r="R1" s="1318"/>
      <c r="S1" s="1318"/>
      <c r="T1" s="1318"/>
      <c r="U1" s="1318"/>
      <c r="V1" s="1318"/>
      <c r="W1" s="1318"/>
      <c r="X1" s="1318"/>
      <c r="Y1" s="1318"/>
    </row>
    <row r="2" spans="1:25" ht="38.25" customHeight="1" thickBot="1" x14ac:dyDescent="0.25">
      <c r="A2" s="1324"/>
      <c r="B2" s="1326"/>
      <c r="C2" s="1320"/>
      <c r="D2" s="492"/>
      <c r="E2" s="1313"/>
      <c r="F2" s="1313"/>
      <c r="G2" s="1320"/>
      <c r="H2" s="496"/>
      <c r="I2" s="1313"/>
      <c r="J2" s="1315"/>
      <c r="K2" s="497"/>
      <c r="L2" s="1313"/>
      <c r="M2" s="1317"/>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21" t="s">
        <v>2797</v>
      </c>
      <c r="C67" s="1322"/>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F1:F2"/>
    <mergeCell ref="G1:G2"/>
    <mergeCell ref="B67:C67"/>
    <mergeCell ref="A1:A2"/>
    <mergeCell ref="B1:B2"/>
    <mergeCell ref="C1:C2"/>
    <mergeCell ref="E1:E2"/>
    <mergeCell ref="I1:I2"/>
    <mergeCell ref="J1:J2"/>
    <mergeCell ref="L1:L2"/>
    <mergeCell ref="M1:M2"/>
    <mergeCell ref="N1:Y1"/>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23" t="s">
        <v>447</v>
      </c>
      <c r="B1" s="1325" t="s">
        <v>2733</v>
      </c>
      <c r="C1" s="1319" t="s">
        <v>3418</v>
      </c>
      <c r="D1" s="492"/>
      <c r="E1" s="1312" t="s">
        <v>3430</v>
      </c>
      <c r="F1" s="1319" t="s">
        <v>3418</v>
      </c>
      <c r="G1" s="493"/>
      <c r="H1" s="1318" t="s">
        <v>3425</v>
      </c>
      <c r="I1" s="1318"/>
      <c r="J1" s="1318"/>
      <c r="K1" s="1318"/>
      <c r="L1" s="1318"/>
      <c r="M1" s="1318"/>
      <c r="N1" s="1318"/>
      <c r="O1" s="1318"/>
      <c r="P1" s="1318"/>
      <c r="Q1" s="1318"/>
      <c r="R1" s="1318"/>
      <c r="S1" s="1318"/>
    </row>
    <row r="2" spans="1:19" ht="38.25" customHeight="1" thickBot="1" x14ac:dyDescent="0.25">
      <c r="A2" s="1324"/>
      <c r="B2" s="1326"/>
      <c r="C2" s="1320"/>
      <c r="D2" s="492"/>
      <c r="E2" s="1313"/>
      <c r="F2" s="1320"/>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21" t="s">
        <v>2797</v>
      </c>
      <c r="C67" s="1322"/>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75" t="s">
        <v>3471</v>
      </c>
      <c r="B1" s="1377" t="s">
        <v>3472</v>
      </c>
      <c r="C1" s="1169" t="s">
        <v>3473</v>
      </c>
      <c r="D1" s="1379" t="s">
        <v>3283</v>
      </c>
      <c r="E1" s="1381" t="s">
        <v>3347</v>
      </c>
      <c r="F1" s="1169" t="s">
        <v>3474</v>
      </c>
      <c r="G1" s="1169" t="s">
        <v>3475</v>
      </c>
      <c r="H1" s="1169" t="s">
        <v>3476</v>
      </c>
      <c r="I1" s="1169" t="s">
        <v>3139</v>
      </c>
      <c r="J1" s="1169" t="s">
        <v>3477</v>
      </c>
      <c r="K1" s="1169" t="s">
        <v>3478</v>
      </c>
      <c r="L1" s="1169" t="s">
        <v>3479</v>
      </c>
      <c r="M1" s="1356" t="s">
        <v>3480</v>
      </c>
      <c r="N1" s="1356"/>
      <c r="O1" s="1356"/>
      <c r="P1" s="1356"/>
      <c r="Q1" s="1356" t="s">
        <v>3481</v>
      </c>
      <c r="R1" s="1356"/>
      <c r="S1" s="1356"/>
      <c r="T1" s="1356"/>
      <c r="U1" s="1356"/>
      <c r="V1" s="1357"/>
      <c r="W1" s="1327" t="s">
        <v>3637</v>
      </c>
      <c r="X1" s="1354" t="s">
        <v>3658</v>
      </c>
      <c r="Y1" s="1354" t="s">
        <v>447</v>
      </c>
      <c r="Z1" s="1348"/>
      <c r="AA1" s="1337" t="s">
        <v>3425</v>
      </c>
      <c r="AB1" s="1337"/>
      <c r="AC1" s="1337"/>
      <c r="AD1" s="1337"/>
      <c r="AE1" s="1337"/>
      <c r="AF1" s="1337"/>
      <c r="AG1" s="1337"/>
      <c r="AH1" s="1337"/>
      <c r="AI1" s="1337"/>
      <c r="AJ1" s="1337"/>
      <c r="AK1" s="1337"/>
      <c r="AL1" s="1337"/>
      <c r="AN1" s="1327" t="s">
        <v>4021</v>
      </c>
      <c r="AO1" s="1327" t="s">
        <v>4023</v>
      </c>
      <c r="AP1" s="1327"/>
      <c r="AQ1" s="1327" t="s">
        <v>4025</v>
      </c>
      <c r="AR1" s="1327" t="s">
        <v>4026</v>
      </c>
      <c r="AS1" s="1327" t="s">
        <v>4027</v>
      </c>
      <c r="AT1" s="1327" t="s">
        <v>4028</v>
      </c>
      <c r="AU1" s="1327" t="s">
        <v>4029</v>
      </c>
      <c r="AV1" s="1327" t="s">
        <v>4022</v>
      </c>
      <c r="AW1" s="1327"/>
      <c r="AY1" s="1327" t="s">
        <v>4044</v>
      </c>
      <c r="AZ1" s="1337" t="s">
        <v>3425</v>
      </c>
      <c r="BA1" s="1337"/>
      <c r="BB1" s="1337"/>
      <c r="BC1" s="1337"/>
      <c r="BD1" s="1337"/>
      <c r="BE1" s="1337"/>
      <c r="BF1" s="1337"/>
      <c r="BG1" s="1337"/>
      <c r="BH1" s="1337"/>
      <c r="BI1" s="1337"/>
      <c r="BJ1" s="1337"/>
      <c r="BK1" s="1337"/>
      <c r="BL1" s="1337"/>
      <c r="BM1" s="1327" t="s">
        <v>4044</v>
      </c>
    </row>
    <row r="2" spans="1:65" ht="47.25" customHeight="1" x14ac:dyDescent="0.2">
      <c r="A2" s="1376"/>
      <c r="B2" s="1378"/>
      <c r="C2" s="1170"/>
      <c r="D2" s="1380"/>
      <c r="E2" s="1382"/>
      <c r="F2" s="1170"/>
      <c r="G2" s="1171"/>
      <c r="H2" s="1170"/>
      <c r="I2" s="1170"/>
      <c r="J2" s="1170"/>
      <c r="K2" s="1171"/>
      <c r="L2" s="1171"/>
      <c r="M2" s="394">
        <v>2009</v>
      </c>
      <c r="N2" s="394">
        <v>2010</v>
      </c>
      <c r="O2" s="394">
        <v>2011</v>
      </c>
      <c r="P2" s="394">
        <v>2012</v>
      </c>
      <c r="Q2" s="394">
        <v>2009</v>
      </c>
      <c r="R2" s="394">
        <v>2010</v>
      </c>
      <c r="S2" s="394">
        <v>2011</v>
      </c>
      <c r="T2" s="394">
        <v>2012</v>
      </c>
      <c r="U2" s="394">
        <v>2008</v>
      </c>
      <c r="V2" s="436" t="s">
        <v>695</v>
      </c>
      <c r="W2" s="1327"/>
      <c r="X2" s="1354"/>
      <c r="Y2" s="1354"/>
      <c r="Z2" s="1348"/>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27"/>
      <c r="AO2" s="584" t="s">
        <v>4032</v>
      </c>
      <c r="AP2" s="579" t="s">
        <v>4024</v>
      </c>
      <c r="AQ2" s="1327"/>
      <c r="AR2" s="1327"/>
      <c r="AS2" s="1327"/>
      <c r="AT2" s="1327"/>
      <c r="AU2" s="1327"/>
      <c r="AV2" s="565" t="s">
        <v>3422</v>
      </c>
      <c r="AW2" s="443" t="s">
        <v>433</v>
      </c>
      <c r="AY2" s="1327"/>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27"/>
    </row>
    <row r="3" spans="1:65" ht="95.25" customHeight="1" x14ac:dyDescent="0.2">
      <c r="A3" s="1174">
        <v>1</v>
      </c>
      <c r="B3" s="1336" t="s">
        <v>3080</v>
      </c>
      <c r="C3" s="1177" t="s">
        <v>3482</v>
      </c>
      <c r="D3" s="1336" t="s">
        <v>3704</v>
      </c>
      <c r="E3" s="1333" t="s">
        <v>3483</v>
      </c>
      <c r="F3" s="1180" t="s">
        <v>3484</v>
      </c>
      <c r="G3" s="1180" t="s">
        <v>3485</v>
      </c>
      <c r="H3" s="1180"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75"/>
      <c r="B4" s="1331"/>
      <c r="C4" s="1178"/>
      <c r="D4" s="1331"/>
      <c r="E4" s="1334"/>
      <c r="F4" s="1180"/>
      <c r="G4" s="1180"/>
      <c r="H4" s="1180"/>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75"/>
      <c r="B5" s="1331"/>
      <c r="C5" s="1178"/>
      <c r="D5" s="1331"/>
      <c r="E5" s="1334"/>
      <c r="F5" s="1180"/>
      <c r="G5" s="1180"/>
      <c r="H5" s="1180"/>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75"/>
      <c r="B6" s="1331"/>
      <c r="C6" s="1178"/>
      <c r="D6" s="1331"/>
      <c r="E6" s="1334"/>
      <c r="F6" s="1180"/>
      <c r="G6" s="1180"/>
      <c r="H6" s="1180"/>
      <c r="I6" s="472"/>
      <c r="J6" s="468"/>
      <c r="K6" s="469"/>
      <c r="L6" s="470"/>
      <c r="M6" s="1358" t="s">
        <v>695</v>
      </c>
      <c r="N6" s="1359"/>
      <c r="O6" s="1359"/>
      <c r="P6" s="1360"/>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75">
        <v>2</v>
      </c>
      <c r="B8" s="1331" t="s">
        <v>648</v>
      </c>
      <c r="C8" s="1175" t="s">
        <v>3656</v>
      </c>
      <c r="D8" s="1336" t="s">
        <v>3736</v>
      </c>
      <c r="E8" s="1334" t="s">
        <v>3483</v>
      </c>
      <c r="F8" s="1175" t="s">
        <v>3737</v>
      </c>
      <c r="G8" s="1175" t="s">
        <v>3738</v>
      </c>
      <c r="H8" s="1175"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75"/>
      <c r="B9" s="1331"/>
      <c r="C9" s="1175"/>
      <c r="D9" s="1331"/>
      <c r="E9" s="1334"/>
      <c r="F9" s="1175"/>
      <c r="G9" s="1175"/>
      <c r="H9" s="1175"/>
      <c r="I9" s="1174"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75"/>
      <c r="B10" s="1331"/>
      <c r="C10" s="1175"/>
      <c r="D10" s="1331"/>
      <c r="E10" s="1334"/>
      <c r="F10" s="1175"/>
      <c r="G10" s="1175"/>
      <c r="H10" s="1175"/>
      <c r="I10" s="1175"/>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75"/>
      <c r="B11" s="1331"/>
      <c r="C11" s="1175"/>
      <c r="D11" s="1331"/>
      <c r="E11" s="1334"/>
      <c r="F11" s="1175"/>
      <c r="G11" s="1175"/>
      <c r="H11" s="1175"/>
      <c r="I11" s="1175"/>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75"/>
      <c r="B12" s="1331"/>
      <c r="C12" s="1175"/>
      <c r="D12" s="1331"/>
      <c r="E12" s="1334"/>
      <c r="F12" s="1175"/>
      <c r="G12" s="1175"/>
      <c r="H12" s="1175"/>
      <c r="I12" s="1176"/>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76"/>
      <c r="B13" s="1332"/>
      <c r="C13" s="1176"/>
      <c r="D13" s="1332"/>
      <c r="E13" s="1335"/>
      <c r="F13" s="1176"/>
      <c r="G13" s="1176"/>
      <c r="H13" s="453"/>
      <c r="I13" s="473"/>
      <c r="J13" s="451"/>
      <c r="K13" s="451"/>
      <c r="L13" s="451"/>
      <c r="M13" s="1384"/>
      <c r="N13" s="1385"/>
      <c r="O13" s="1385"/>
      <c r="P13" s="1386"/>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80">
        <v>3</v>
      </c>
      <c r="B15" s="1329" t="s">
        <v>3162</v>
      </c>
      <c r="C15" s="1174" t="s">
        <v>3493</v>
      </c>
      <c r="D15" s="1329" t="s">
        <v>3494</v>
      </c>
      <c r="E15" s="1333" t="s">
        <v>3495</v>
      </c>
      <c r="F15" s="1180" t="s">
        <v>3484</v>
      </c>
      <c r="G15" s="1174" t="s">
        <v>3485</v>
      </c>
      <c r="H15" s="1180" t="s">
        <v>3486</v>
      </c>
      <c r="I15" s="1174"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80"/>
      <c r="B16" s="1329"/>
      <c r="C16" s="1175"/>
      <c r="D16" s="1329"/>
      <c r="E16" s="1334"/>
      <c r="F16" s="1180"/>
      <c r="G16" s="1175"/>
      <c r="H16" s="1180"/>
      <c r="I16" s="1176"/>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80"/>
      <c r="B17" s="1329"/>
      <c r="C17" s="1175"/>
      <c r="D17" s="1329"/>
      <c r="E17" s="1334"/>
      <c r="F17" s="1180"/>
      <c r="G17" s="1175"/>
      <c r="H17" s="1180"/>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80"/>
      <c r="B18" s="1329"/>
      <c r="C18" s="1176"/>
      <c r="D18" s="1329"/>
      <c r="E18" s="1335"/>
      <c r="F18" s="1180"/>
      <c r="G18" s="1176"/>
      <c r="H18" s="1180"/>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29">
        <v>3</v>
      </c>
      <c r="B19" s="1329" t="s">
        <v>3162</v>
      </c>
      <c r="C19" s="1180" t="s">
        <v>3493</v>
      </c>
      <c r="D19" s="1329" t="s">
        <v>3184</v>
      </c>
      <c r="E19" s="1345" t="s">
        <v>3495</v>
      </c>
      <c r="F19" s="1180" t="s">
        <v>3499</v>
      </c>
      <c r="G19" s="1180" t="s">
        <v>3500</v>
      </c>
      <c r="H19" s="1180"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29"/>
      <c r="B20" s="1329"/>
      <c r="C20" s="1180"/>
      <c r="D20" s="1329"/>
      <c r="E20" s="1345"/>
      <c r="F20" s="1180"/>
      <c r="G20" s="1180"/>
      <c r="H20" s="1180"/>
      <c r="I20" s="1180"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29"/>
      <c r="B21" s="1329"/>
      <c r="C21" s="1180"/>
      <c r="D21" s="1329"/>
      <c r="E21" s="1345"/>
      <c r="F21" s="1180"/>
      <c r="G21" s="1180"/>
      <c r="H21" s="1180"/>
      <c r="I21" s="1180"/>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29"/>
      <c r="B22" s="1329"/>
      <c r="C22" s="1180"/>
      <c r="D22" s="1329"/>
      <c r="E22" s="1345"/>
      <c r="F22" s="1180"/>
      <c r="G22" s="1180"/>
      <c r="H22" s="1180"/>
      <c r="I22" s="1180"/>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29"/>
      <c r="B23" s="1329"/>
      <c r="C23" s="1180"/>
      <c r="D23" s="1329"/>
      <c r="E23" s="1345"/>
      <c r="F23" s="1180"/>
      <c r="G23" s="1180"/>
      <c r="H23" s="1180"/>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29"/>
      <c r="B24" s="1329"/>
      <c r="C24" s="1180"/>
      <c r="D24" s="1329"/>
      <c r="E24" s="1345"/>
      <c r="F24" s="1180"/>
      <c r="G24" s="1180"/>
      <c r="H24" s="1180"/>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80">
        <v>3</v>
      </c>
      <c r="B25" s="1329" t="s">
        <v>3162</v>
      </c>
      <c r="C25" s="1180" t="s">
        <v>3493</v>
      </c>
      <c r="D25" s="1329" t="s">
        <v>3707</v>
      </c>
      <c r="E25" s="1345" t="s">
        <v>3503</v>
      </c>
      <c r="F25" s="1180" t="s">
        <v>3499</v>
      </c>
      <c r="G25" s="1180" t="s">
        <v>3500</v>
      </c>
      <c r="H25" s="1180"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80"/>
      <c r="B26" s="1330"/>
      <c r="C26" s="1180"/>
      <c r="D26" s="1329"/>
      <c r="E26" s="1345"/>
      <c r="F26" s="1180"/>
      <c r="G26" s="1180"/>
      <c r="H26" s="1180"/>
      <c r="I26" s="1174"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80"/>
      <c r="B27" s="1330"/>
      <c r="C27" s="1180"/>
      <c r="D27" s="1329"/>
      <c r="E27" s="1345"/>
      <c r="F27" s="1180"/>
      <c r="G27" s="1180"/>
      <c r="H27" s="1180"/>
      <c r="I27" s="1175"/>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80"/>
      <c r="B28" s="1330"/>
      <c r="C28" s="1180"/>
      <c r="D28" s="1329"/>
      <c r="E28" s="1345"/>
      <c r="F28" s="1180"/>
      <c r="G28" s="1180"/>
      <c r="H28" s="1180"/>
      <c r="I28" s="1176"/>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80"/>
      <c r="B29" s="1330"/>
      <c r="C29" s="1180"/>
      <c r="D29" s="1329"/>
      <c r="E29" s="1345"/>
      <c r="F29" s="1180"/>
      <c r="G29" s="1180"/>
      <c r="H29" s="1180"/>
      <c r="I29" s="1174"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80"/>
      <c r="B30" s="1330"/>
      <c r="C30" s="1180"/>
      <c r="D30" s="1329"/>
      <c r="E30" s="1345"/>
      <c r="F30" s="1180"/>
      <c r="G30" s="1180"/>
      <c r="H30" s="1180"/>
      <c r="I30" s="1176"/>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80"/>
      <c r="B31" s="1330"/>
      <c r="C31" s="1180"/>
      <c r="D31" s="1329"/>
      <c r="E31" s="1345"/>
      <c r="F31" s="1180"/>
      <c r="G31" s="1180"/>
      <c r="H31" s="1180"/>
      <c r="I31" s="1174"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80"/>
      <c r="B32" s="1330"/>
      <c r="C32" s="1180"/>
      <c r="D32" s="1329"/>
      <c r="E32" s="1345"/>
      <c r="F32" s="1180"/>
      <c r="G32" s="1180"/>
      <c r="H32" s="1180"/>
      <c r="I32" s="1176"/>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80"/>
      <c r="B33" s="1330"/>
      <c r="C33" s="1180"/>
      <c r="D33" s="1329"/>
      <c r="E33" s="1345"/>
      <c r="F33" s="1180"/>
      <c r="G33" s="1180"/>
      <c r="H33" s="1180"/>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80"/>
      <c r="B34" s="1330"/>
      <c r="C34" s="1180"/>
      <c r="D34" s="1329"/>
      <c r="E34" s="1345"/>
      <c r="F34" s="1180"/>
      <c r="G34" s="1180"/>
      <c r="H34" s="1180"/>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80"/>
      <c r="B35" s="1330"/>
      <c r="C35" s="1180"/>
      <c r="D35" s="1329"/>
      <c r="E35" s="1345"/>
      <c r="F35" s="1180"/>
      <c r="G35" s="1180"/>
      <c r="H35" s="1180"/>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74">
        <v>3</v>
      </c>
      <c r="B36" s="1336" t="s">
        <v>3162</v>
      </c>
      <c r="C36" s="1174" t="s">
        <v>3493</v>
      </c>
      <c r="D36" s="1331" t="s">
        <v>3182</v>
      </c>
      <c r="E36" s="1369" t="s">
        <v>3503</v>
      </c>
      <c r="F36" s="1371" t="s">
        <v>3499</v>
      </c>
      <c r="G36" s="1174" t="s">
        <v>3500</v>
      </c>
      <c r="H36" s="1174"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76"/>
      <c r="B37" s="1332"/>
      <c r="C37" s="1176"/>
      <c r="D37" s="1332"/>
      <c r="E37" s="1370"/>
      <c r="F37" s="1372"/>
      <c r="G37" s="1176"/>
      <c r="H37" s="1176"/>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58" t="s">
        <v>695</v>
      </c>
      <c r="N38" s="1359"/>
      <c r="O38" s="1359"/>
      <c r="P38" s="1360"/>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38">
        <v>4</v>
      </c>
      <c r="B40" s="1340" t="s">
        <v>3526</v>
      </c>
      <c r="C40" s="1174" t="s">
        <v>3527</v>
      </c>
      <c r="D40" s="1329" t="s">
        <v>3528</v>
      </c>
      <c r="E40" s="1342" t="s">
        <v>3529</v>
      </c>
      <c r="F40" s="1180" t="s">
        <v>3530</v>
      </c>
      <c r="G40" s="1174" t="s">
        <v>446</v>
      </c>
      <c r="H40" s="1180"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39"/>
      <c r="B41" s="1341"/>
      <c r="C41" s="1175"/>
      <c r="D41" s="1329"/>
      <c r="E41" s="1343"/>
      <c r="F41" s="1180"/>
      <c r="G41" s="1175"/>
      <c r="H41" s="1180"/>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39"/>
      <c r="B42" s="1341"/>
      <c r="C42" s="1175"/>
      <c r="D42" s="1332" t="s">
        <v>3537</v>
      </c>
      <c r="E42" s="1333" t="s">
        <v>3538</v>
      </c>
      <c r="F42" s="1180" t="s">
        <v>3504</v>
      </c>
      <c r="G42" s="1180">
        <v>0</v>
      </c>
      <c r="H42" s="1180"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39"/>
      <c r="B43" s="1341"/>
      <c r="C43" s="1175"/>
      <c r="D43" s="1332"/>
      <c r="E43" s="1334"/>
      <c r="F43" s="1180"/>
      <c r="G43" s="1180"/>
      <c r="H43" s="1180"/>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39"/>
      <c r="B44" s="1341"/>
      <c r="C44" s="1175"/>
      <c r="D44" s="1332"/>
      <c r="E44" s="1334"/>
      <c r="F44" s="1180"/>
      <c r="G44" s="1180"/>
      <c r="H44" s="1180"/>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39"/>
      <c r="B45" s="1341"/>
      <c r="C45" s="1175"/>
      <c r="D45" s="1332"/>
      <c r="E45" s="1334"/>
      <c r="F45" s="1180"/>
      <c r="G45" s="1180"/>
      <c r="H45" s="1180"/>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341"/>
      <c r="C46" s="1175"/>
      <c r="D46" s="1329"/>
      <c r="E46" s="1346"/>
      <c r="F46" s="1180"/>
      <c r="G46" s="1180"/>
      <c r="H46" s="1180"/>
      <c r="I46" s="474"/>
      <c r="J46" s="465"/>
      <c r="K46" s="451"/>
      <c r="L46" s="451"/>
      <c r="M46" s="1358" t="s">
        <v>695</v>
      </c>
      <c r="N46" s="1359"/>
      <c r="O46" s="1359"/>
      <c r="P46" s="1360"/>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74">
        <v>5</v>
      </c>
      <c r="B48" s="1336" t="s">
        <v>3112</v>
      </c>
      <c r="C48" s="1177" t="s">
        <v>3558</v>
      </c>
      <c r="D48" s="1336" t="s">
        <v>3559</v>
      </c>
      <c r="E48" s="1333" t="s">
        <v>3483</v>
      </c>
      <c r="F48" s="1180" t="s">
        <v>3484</v>
      </c>
      <c r="G48" s="1180">
        <v>0</v>
      </c>
      <c r="H48" s="1180"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75"/>
      <c r="B49" s="1331"/>
      <c r="C49" s="1178"/>
      <c r="D49" s="1331"/>
      <c r="E49" s="1334"/>
      <c r="F49" s="1180"/>
      <c r="G49" s="1180"/>
      <c r="H49" s="1180"/>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76"/>
      <c r="B50" s="1332"/>
      <c r="C50" s="1179"/>
      <c r="D50" s="1332"/>
      <c r="E50" s="1335"/>
      <c r="F50" s="1180"/>
      <c r="G50" s="1180"/>
      <c r="H50" s="1180"/>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58" t="s">
        <v>695</v>
      </c>
      <c r="N51" s="1359"/>
      <c r="O51" s="1359"/>
      <c r="P51" s="1360"/>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74">
        <v>6</v>
      </c>
      <c r="B53" s="1336" t="s">
        <v>3569</v>
      </c>
      <c r="C53" s="1174" t="s">
        <v>3570</v>
      </c>
      <c r="D53" s="1329" t="s">
        <v>3571</v>
      </c>
      <c r="E53" s="1373" t="s">
        <v>3572</v>
      </c>
      <c r="F53" s="1180" t="s">
        <v>3484</v>
      </c>
      <c r="G53" s="1180" t="s">
        <v>3573</v>
      </c>
      <c r="H53" s="1180"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75"/>
      <c r="B54" s="1331"/>
      <c r="C54" s="1175"/>
      <c r="D54" s="1329"/>
      <c r="E54" s="1374"/>
      <c r="F54" s="1180"/>
      <c r="G54" s="1180"/>
      <c r="H54" s="1180"/>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75"/>
      <c r="B55" s="1331"/>
      <c r="C55" s="1175"/>
      <c r="D55" s="1336" t="s">
        <v>434</v>
      </c>
      <c r="E55" s="1333" t="s">
        <v>3577</v>
      </c>
      <c r="F55" s="1174" t="s">
        <v>3578</v>
      </c>
      <c r="G55" s="1174" t="s">
        <v>3579</v>
      </c>
      <c r="H55" s="1174" t="s">
        <v>3580</v>
      </c>
      <c r="I55" s="1180"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75"/>
      <c r="B56" s="1331"/>
      <c r="C56" s="1175"/>
      <c r="D56" s="1331"/>
      <c r="E56" s="1334"/>
      <c r="F56" s="1175"/>
      <c r="G56" s="1175"/>
      <c r="H56" s="1175"/>
      <c r="I56" s="1180"/>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75"/>
      <c r="B57" s="1331"/>
      <c r="C57" s="1175"/>
      <c r="D57" s="1331"/>
      <c r="E57" s="1334"/>
      <c r="F57" s="1175"/>
      <c r="G57" s="1175"/>
      <c r="H57" s="1175"/>
      <c r="I57" s="1180"/>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75"/>
      <c r="B58" s="1331"/>
      <c r="C58" s="1175"/>
      <c r="D58" s="1331"/>
      <c r="E58" s="1334"/>
      <c r="F58" s="1175"/>
      <c r="G58" s="1175"/>
      <c r="H58" s="1175"/>
      <c r="I58" s="1180"/>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75"/>
      <c r="B59" s="1331"/>
      <c r="C59" s="1175"/>
      <c r="D59" s="1331"/>
      <c r="E59" s="1334"/>
      <c r="F59" s="1175"/>
      <c r="G59" s="1175"/>
      <c r="H59" s="1175"/>
      <c r="I59" s="1180"/>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75"/>
      <c r="B60" s="1331"/>
      <c r="C60" s="1175"/>
      <c r="D60" s="1331"/>
      <c r="E60" s="1334"/>
      <c r="F60" s="1175"/>
      <c r="G60" s="1175"/>
      <c r="H60" s="1175"/>
      <c r="I60" s="1180"/>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80">
        <v>6</v>
      </c>
      <c r="B62" s="1344" t="s">
        <v>3569</v>
      </c>
      <c r="C62" s="1180" t="s">
        <v>3570</v>
      </c>
      <c r="D62" s="1329" t="s">
        <v>434</v>
      </c>
      <c r="E62" s="1345" t="s">
        <v>3577</v>
      </c>
      <c r="F62" s="1180" t="s">
        <v>3578</v>
      </c>
      <c r="G62" s="1180" t="s">
        <v>3579</v>
      </c>
      <c r="H62" s="1180" t="s">
        <v>3580</v>
      </c>
      <c r="I62" s="1180"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80"/>
      <c r="B63" s="1344"/>
      <c r="C63" s="1180"/>
      <c r="D63" s="1329"/>
      <c r="E63" s="1345"/>
      <c r="F63" s="1180"/>
      <c r="G63" s="1180"/>
      <c r="H63" s="1180"/>
      <c r="I63" s="1180"/>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58" t="s">
        <v>695</v>
      </c>
      <c r="N64" s="1359"/>
      <c r="O64" s="1359"/>
      <c r="P64" s="1360"/>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80">
        <v>7</v>
      </c>
      <c r="B66" s="1329" t="s">
        <v>3598</v>
      </c>
      <c r="C66" s="1180" t="s">
        <v>3599</v>
      </c>
      <c r="D66" s="1329" t="s">
        <v>3600</v>
      </c>
      <c r="E66" s="1342" t="s">
        <v>3577</v>
      </c>
      <c r="F66" s="1180" t="s">
        <v>3674</v>
      </c>
      <c r="G66" s="1180" t="s">
        <v>3675</v>
      </c>
      <c r="H66" s="1180" t="s">
        <v>3676</v>
      </c>
      <c r="I66" s="1174"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80"/>
      <c r="B67" s="1329"/>
      <c r="C67" s="1180"/>
      <c r="D67" s="1329"/>
      <c r="E67" s="1343"/>
      <c r="F67" s="1180"/>
      <c r="G67" s="1180"/>
      <c r="H67" s="1180"/>
      <c r="I67" s="1176"/>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80"/>
      <c r="B68" s="1329"/>
      <c r="C68" s="1180"/>
      <c r="D68" s="1344" t="s">
        <v>3605</v>
      </c>
      <c r="E68" s="1333" t="s">
        <v>3667</v>
      </c>
      <c r="F68" s="1180" t="s">
        <v>3698</v>
      </c>
      <c r="G68" s="1180" t="s">
        <v>3677</v>
      </c>
      <c r="H68" s="1180" t="s">
        <v>3678</v>
      </c>
      <c r="I68" s="1174"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80"/>
      <c r="B69" s="1329"/>
      <c r="C69" s="1180"/>
      <c r="D69" s="1344"/>
      <c r="E69" s="1334"/>
      <c r="F69" s="1180"/>
      <c r="G69" s="1180"/>
      <c r="H69" s="1180"/>
      <c r="I69" s="1175"/>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80"/>
      <c r="B70" s="1329"/>
      <c r="C70" s="1180"/>
      <c r="D70" s="1344"/>
      <c r="E70" s="1334"/>
      <c r="F70" s="1180"/>
      <c r="G70" s="1180"/>
      <c r="H70" s="1180"/>
      <c r="I70" s="1176"/>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80"/>
      <c r="B71" s="1329"/>
      <c r="C71" s="1180"/>
      <c r="D71" s="1344"/>
      <c r="E71" s="1334"/>
      <c r="F71" s="1180"/>
      <c r="G71" s="1180"/>
      <c r="H71" s="1180"/>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58" t="s">
        <v>695</v>
      </c>
      <c r="N72" s="1359"/>
      <c r="O72" s="1359"/>
      <c r="P72" s="1360"/>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65"/>
      <c r="N73" s="1365"/>
      <c r="O73" s="1365"/>
      <c r="P73" s="1365"/>
      <c r="Q73" s="1365"/>
      <c r="R73" s="1365"/>
      <c r="S73" s="1365"/>
      <c r="T73" s="1365"/>
      <c r="U73" s="1365"/>
      <c r="V73" s="1365"/>
      <c r="W73" s="1365"/>
      <c r="X73" s="1366"/>
      <c r="AP73" s="445"/>
    </row>
    <row r="74" spans="1:65" ht="17.25" customHeight="1" x14ac:dyDescent="0.2">
      <c r="A74" s="419"/>
      <c r="B74" s="419"/>
      <c r="C74" s="419"/>
      <c r="D74" s="419"/>
      <c r="E74" s="419"/>
      <c r="F74" s="419"/>
      <c r="G74" s="419"/>
      <c r="H74" s="419"/>
      <c r="I74" s="419"/>
      <c r="J74" s="419"/>
      <c r="K74" s="419"/>
      <c r="L74" s="419"/>
      <c r="M74" s="1362" t="s">
        <v>695</v>
      </c>
      <c r="N74" s="1363"/>
      <c r="O74" s="1363"/>
      <c r="P74" s="1364"/>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62" t="s">
        <v>3654</v>
      </c>
      <c r="N75" s="1363"/>
      <c r="O75" s="1363"/>
      <c r="P75" s="1364"/>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62" t="s">
        <v>3655</v>
      </c>
      <c r="N76" s="1363"/>
      <c r="O76" s="1363"/>
      <c r="P76" s="1364"/>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28" t="s">
        <v>3753</v>
      </c>
      <c r="X78" s="1328"/>
      <c r="Y78" s="1328"/>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83" t="s">
        <v>4031</v>
      </c>
      <c r="N79" s="1383"/>
      <c r="O79" s="585">
        <f>140+50+36+1000+259.5</f>
        <v>1485.5</v>
      </c>
      <c r="P79" s="419"/>
      <c r="Q79" s="419"/>
      <c r="R79" s="419"/>
      <c r="S79" s="419"/>
      <c r="T79" s="419"/>
      <c r="U79" s="419"/>
      <c r="V79" s="434"/>
      <c r="W79" s="1328" t="s">
        <v>3754</v>
      </c>
      <c r="X79" s="1328"/>
      <c r="Y79" s="1328"/>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28" t="s">
        <v>3743</v>
      </c>
      <c r="X80" s="1328"/>
      <c r="Y80" s="1328"/>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28" t="s">
        <v>674</v>
      </c>
      <c r="X81" s="1328"/>
      <c r="Y81" s="1328"/>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28" t="s">
        <v>443</v>
      </c>
      <c r="X82" s="1328"/>
      <c r="Y82" s="1328"/>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28" t="s">
        <v>3755</v>
      </c>
      <c r="X83" s="1328"/>
      <c r="Y83" s="1328"/>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28" t="s">
        <v>3306</v>
      </c>
      <c r="X84" s="1328"/>
      <c r="Y84" s="1328"/>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28" t="s">
        <v>695</v>
      </c>
      <c r="X85" s="1328"/>
      <c r="Y85" s="1328"/>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67" t="s">
        <v>3671</v>
      </c>
      <c r="Y90" s="1367"/>
      <c r="AP90" s="445">
        <f>+'[3]PLANINVERSIONES DIC'!$X$165</f>
        <v>20399850.333333254</v>
      </c>
      <c r="AQ90" s="590">
        <v>111</v>
      </c>
      <c r="AR90" s="591">
        <f>SUMIF($Y$3:$Y$71,"111",$AR$3:$AR$71)</f>
        <v>2958222037</v>
      </c>
      <c r="AS90" s="445">
        <f>+AR91-398500313</f>
        <v>110134781</v>
      </c>
      <c r="AU90" s="591">
        <v>3068356818.1999998</v>
      </c>
      <c r="AV90" s="591"/>
    </row>
    <row r="91" spans="1:60" x14ac:dyDescent="0.2">
      <c r="M91" s="1349" t="s">
        <v>3659</v>
      </c>
      <c r="N91" s="1349"/>
      <c r="O91" s="1349"/>
      <c r="P91" s="1349"/>
      <c r="Q91" s="1349"/>
      <c r="R91" s="1349"/>
      <c r="S91" s="1349"/>
      <c r="T91" s="1349"/>
      <c r="V91" s="1352">
        <v>900000000</v>
      </c>
      <c r="W91" s="1355"/>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49" t="s">
        <v>3751</v>
      </c>
      <c r="N92" s="1349"/>
      <c r="O92" s="1349"/>
      <c r="P92" s="1349"/>
      <c r="Q92" s="1349"/>
      <c r="R92" s="1349"/>
      <c r="S92" s="1349"/>
      <c r="T92" s="1349"/>
      <c r="V92" s="1352">
        <v>616800000</v>
      </c>
      <c r="W92" s="1355"/>
      <c r="X92" s="576"/>
      <c r="Y92" s="577"/>
      <c r="Z92" s="448"/>
      <c r="AQ92" s="590">
        <v>310</v>
      </c>
      <c r="AR92" s="591">
        <f>SUMIF($Y$3:$Y$71,"310",$AR$3:$AR$71)</f>
        <v>0</v>
      </c>
      <c r="AU92" s="590"/>
      <c r="AV92" s="591"/>
    </row>
    <row r="93" spans="1:60" ht="15" customHeight="1" x14ac:dyDescent="0.2">
      <c r="M93" s="1349" t="s">
        <v>3752</v>
      </c>
      <c r="N93" s="1349"/>
      <c r="O93" s="1349"/>
      <c r="P93" s="1349"/>
      <c r="Q93" s="1349"/>
      <c r="R93" s="1349"/>
      <c r="S93" s="1349"/>
      <c r="T93" s="1349"/>
      <c r="V93" s="1352">
        <v>1300000000</v>
      </c>
      <c r="W93" s="1355"/>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49" t="s">
        <v>3660</v>
      </c>
      <c r="N94" s="1349"/>
      <c r="O94" s="1349"/>
      <c r="P94" s="1349"/>
      <c r="Q94" s="1350"/>
      <c r="R94" s="1350"/>
      <c r="S94" s="1350"/>
      <c r="T94" s="1350"/>
      <c r="V94" s="1352">
        <v>1325201794</v>
      </c>
      <c r="W94" s="1352"/>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51" t="s">
        <v>3661</v>
      </c>
      <c r="N95" s="1351"/>
      <c r="O95" s="1351"/>
      <c r="P95" s="1361" t="s">
        <v>3668</v>
      </c>
      <c r="Q95" s="1361"/>
      <c r="R95" s="1361"/>
      <c r="S95" s="1361"/>
      <c r="T95" s="1361"/>
      <c r="U95" s="447"/>
      <c r="V95" s="1368">
        <v>177821516</v>
      </c>
      <c r="W95" s="1368"/>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49" t="s">
        <v>3662</v>
      </c>
      <c r="N96" s="1349"/>
      <c r="O96" s="1349"/>
      <c r="P96" s="1349"/>
      <c r="Q96" s="1349"/>
      <c r="R96" s="1349"/>
      <c r="S96" s="1349"/>
      <c r="T96" s="1349"/>
      <c r="V96" s="1352">
        <v>73270400</v>
      </c>
      <c r="W96" s="1352"/>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49" t="s">
        <v>3663</v>
      </c>
      <c r="N97" s="1349"/>
      <c r="O97" s="1349"/>
      <c r="P97" s="1349"/>
      <c r="Q97" s="1349"/>
      <c r="R97" s="1349"/>
      <c r="S97" s="1349"/>
      <c r="T97" s="1349"/>
      <c r="V97" s="1352">
        <v>20000000</v>
      </c>
      <c r="W97" s="1352"/>
      <c r="X97" s="576">
        <f>SUMIF($Y$3:$Y$71,"510",$X$3:$X$71)</f>
        <v>905000000</v>
      </c>
      <c r="Y97" s="577">
        <v>510</v>
      </c>
      <c r="Z97" s="448">
        <f>SUMIF($Y$3:$Y$71,"510",$S$3:$S$71)</f>
        <v>1444</v>
      </c>
      <c r="AA97" s="454">
        <f>+Z97-(X97/1000000)</f>
        <v>539</v>
      </c>
      <c r="AR97" s="445">
        <f>+AR79-AR96</f>
        <v>0</v>
      </c>
      <c r="AU97" s="445">
        <f>+AR96-AU96-AV96</f>
        <v>0</v>
      </c>
    </row>
    <row r="98" spans="13:47" x14ac:dyDescent="0.2">
      <c r="M98" s="1349" t="s">
        <v>3664</v>
      </c>
      <c r="N98" s="1349"/>
      <c r="O98" s="1349"/>
      <c r="P98" s="1349"/>
      <c r="Q98" s="1349"/>
      <c r="R98" s="1349"/>
      <c r="S98" s="1349"/>
      <c r="T98" s="1349"/>
      <c r="V98" s="1352">
        <v>47000740</v>
      </c>
      <c r="W98" s="1352"/>
      <c r="X98" s="576">
        <f>SUMIF($Y$3:$Y$71,"520",$X$3:$X$71)</f>
        <v>420000000</v>
      </c>
      <c r="Y98" s="577">
        <v>520</v>
      </c>
      <c r="Z98" s="448">
        <f>SUMIF($Y$3:$Y$71,"520",$S$3:$S$71)</f>
        <v>455</v>
      </c>
      <c r="AA98" s="454">
        <f>+Z98-(X98/1000000)</f>
        <v>35</v>
      </c>
    </row>
    <row r="99" spans="13:47" x14ac:dyDescent="0.2">
      <c r="M99" s="1349" t="s">
        <v>3665</v>
      </c>
      <c r="N99" s="1349"/>
      <c r="O99" s="1349"/>
      <c r="P99" s="1349"/>
      <c r="Q99" s="1349"/>
      <c r="R99" s="1349"/>
      <c r="S99" s="1349"/>
      <c r="T99" s="1349"/>
      <c r="V99" s="1352">
        <v>881000000</v>
      </c>
      <c r="W99" s="1352"/>
      <c r="X99" s="450">
        <f>SUM(X91:X98)</f>
        <v>7816996570</v>
      </c>
      <c r="Y99" s="577"/>
      <c r="Z99" s="450">
        <f>SUM(Z91:Z98)</f>
        <v>12985.44</v>
      </c>
    </row>
    <row r="100" spans="13:47" x14ac:dyDescent="0.2">
      <c r="M100" s="1349" t="s">
        <v>3666</v>
      </c>
      <c r="N100" s="1349"/>
      <c r="O100" s="1349"/>
      <c r="P100" s="1349"/>
      <c r="Q100" s="1349"/>
      <c r="R100" s="1349"/>
      <c r="S100" s="1349"/>
      <c r="T100" s="1349"/>
      <c r="V100" s="1352">
        <v>1355000000</v>
      </c>
      <c r="W100" s="1352"/>
      <c r="X100" s="576">
        <f>SUMIF($Y$3:$Y$71,"301",$X$3:$X$71)</f>
        <v>1355000000</v>
      </c>
      <c r="Y100" s="577">
        <v>301</v>
      </c>
      <c r="Z100" s="448">
        <f>SUMIF($Y$3:$Y$71,"301",$S$3:$S$71)</f>
        <v>1155</v>
      </c>
      <c r="AA100" s="454">
        <f>+Z100-(X100/1000000)</f>
        <v>-200</v>
      </c>
    </row>
    <row r="101" spans="13:47" x14ac:dyDescent="0.2">
      <c r="M101" s="1349" t="s">
        <v>3672</v>
      </c>
      <c r="N101" s="1349"/>
      <c r="O101" s="1349"/>
      <c r="P101" s="1349"/>
      <c r="Q101" s="1349"/>
      <c r="R101" s="1349"/>
      <c r="S101" s="1349"/>
      <c r="T101" s="1349"/>
      <c r="V101" s="1352">
        <v>2475902120</v>
      </c>
      <c r="W101" s="1352"/>
      <c r="X101" s="450">
        <f>+X99+X100</f>
        <v>9171996570</v>
      </c>
      <c r="Y101" s="577" t="s">
        <v>622</v>
      </c>
      <c r="Z101" s="450">
        <f>+Z99+Z100</f>
        <v>14140.44</v>
      </c>
    </row>
    <row r="102" spans="13:47" x14ac:dyDescent="0.2">
      <c r="M102" s="1347" t="s">
        <v>3673</v>
      </c>
      <c r="N102" s="1347"/>
      <c r="O102" s="1347"/>
      <c r="P102" s="1347"/>
      <c r="Q102" s="1347"/>
      <c r="R102" s="1347"/>
      <c r="S102" s="1347"/>
      <c r="T102" s="1347"/>
      <c r="U102" s="419"/>
      <c r="V102" s="1353">
        <f>SUM(V91:V101)</f>
        <v>9171996570</v>
      </c>
      <c r="W102" s="1353"/>
      <c r="X102" s="575"/>
    </row>
    <row r="103" spans="13:47" x14ac:dyDescent="0.2">
      <c r="X103" s="575"/>
    </row>
    <row r="104" spans="13:47" x14ac:dyDescent="0.2">
      <c r="X104" s="575"/>
    </row>
  </sheetData>
  <mergeCells count="190">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F42:F46"/>
    <mergeCell ref="G42:G46"/>
    <mergeCell ref="H42:H46"/>
    <mergeCell ref="D53:D54"/>
    <mergeCell ref="E53:E54"/>
    <mergeCell ref="F53:F54"/>
    <mergeCell ref="G53:G54"/>
    <mergeCell ref="H53:H54"/>
    <mergeCell ref="G48:G50"/>
    <mergeCell ref="H48:H50"/>
    <mergeCell ref="G68:G71"/>
    <mergeCell ref="H68:H71"/>
    <mergeCell ref="M64:P64"/>
    <mergeCell ref="M92:T92"/>
    <mergeCell ref="M93:T93"/>
    <mergeCell ref="V92:W92"/>
    <mergeCell ref="V93:W93"/>
    <mergeCell ref="G40:G41"/>
    <mergeCell ref="H40:H41"/>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419" t="s">
        <v>3338</v>
      </c>
      <c r="B1" s="1419"/>
      <c r="C1" s="1419"/>
      <c r="D1" s="1419"/>
      <c r="E1" s="1419"/>
      <c r="F1" s="1419"/>
      <c r="G1" s="1419"/>
      <c r="H1" s="1419"/>
      <c r="I1" s="1419"/>
      <c r="J1" s="1419"/>
      <c r="K1" s="1419"/>
      <c r="L1" s="1419"/>
      <c r="N1" s="1420" t="s">
        <v>4020</v>
      </c>
      <c r="O1" s="1421"/>
      <c r="P1" s="1421"/>
      <c r="Q1" s="1421"/>
      <c r="R1" s="1422"/>
      <c r="T1" s="1202" t="s">
        <v>3347</v>
      </c>
      <c r="U1" s="1423" t="s">
        <v>3425</v>
      </c>
      <c r="V1" s="1424"/>
      <c r="W1" s="1424"/>
      <c r="X1" s="1424"/>
      <c r="Y1" s="1424"/>
      <c r="Z1" s="1424"/>
      <c r="AA1" s="1424"/>
      <c r="AB1" s="1424"/>
      <c r="AC1" s="1424"/>
      <c r="AD1" s="1424"/>
      <c r="AE1" s="1424"/>
      <c r="AF1" s="1424"/>
      <c r="AG1" s="1425"/>
      <c r="AR1" s="1415" t="s">
        <v>3404</v>
      </c>
      <c r="AS1" s="1416"/>
      <c r="AT1" s="1416"/>
      <c r="AU1" s="1416"/>
      <c r="AV1" s="1416"/>
      <c r="AW1" s="1416"/>
      <c r="AX1" s="1416"/>
      <c r="AY1" s="1416"/>
      <c r="AZ1" s="1416"/>
      <c r="BA1" s="1416"/>
      <c r="BB1" s="1416"/>
      <c r="BC1" s="1416"/>
      <c r="BD1" s="1416"/>
      <c r="BF1" s="1415" t="s">
        <v>3400</v>
      </c>
      <c r="BG1" s="1416"/>
      <c r="BH1" s="1416"/>
      <c r="BI1" s="1416"/>
      <c r="BJ1" s="1416"/>
      <c r="BK1" s="1416"/>
      <c r="BL1" s="1416"/>
      <c r="BM1" s="1416"/>
      <c r="BN1" s="1416"/>
      <c r="BO1" s="1416"/>
      <c r="BP1" s="1416"/>
      <c r="BQ1" s="1416"/>
      <c r="BR1" s="1416"/>
      <c r="BT1" s="1415" t="s">
        <v>3403</v>
      </c>
      <c r="BU1" s="1416"/>
      <c r="BV1" s="1416"/>
      <c r="BW1" s="1416"/>
      <c r="BX1" s="1416"/>
      <c r="BY1" s="1416"/>
      <c r="BZ1" s="1416"/>
      <c r="CA1" s="1416"/>
      <c r="CB1" s="1416"/>
      <c r="CC1" s="1416"/>
      <c r="CD1" s="1416"/>
      <c r="CE1" s="1416"/>
      <c r="CF1" s="1416"/>
      <c r="CH1" s="1415" t="s">
        <v>3400</v>
      </c>
      <c r="CI1" s="1416"/>
      <c r="CJ1" s="1416"/>
      <c r="CK1" s="1416"/>
      <c r="CL1" s="1416"/>
      <c r="CM1" s="1416"/>
      <c r="CN1" s="1416"/>
      <c r="CO1" s="1416"/>
      <c r="CP1" s="1416"/>
      <c r="CQ1" s="1416"/>
      <c r="CR1" s="1416"/>
      <c r="CS1" s="1416"/>
      <c r="CT1" s="1416"/>
    </row>
    <row r="2" spans="1:98" ht="15.6" customHeight="1" x14ac:dyDescent="0.25">
      <c r="A2" s="1297" t="s">
        <v>3137</v>
      </c>
      <c r="B2" s="1298"/>
      <c r="C2" s="1297" t="s">
        <v>3283</v>
      </c>
      <c r="D2" s="1298"/>
      <c r="E2" s="1297" t="s">
        <v>3139</v>
      </c>
      <c r="F2" s="1298"/>
      <c r="G2" s="1417" t="s">
        <v>3414</v>
      </c>
      <c r="H2" s="1417" t="s">
        <v>3415</v>
      </c>
      <c r="I2" s="1197" t="s">
        <v>3284</v>
      </c>
      <c r="J2" s="1199" t="s">
        <v>457</v>
      </c>
      <c r="K2" s="1199"/>
      <c r="L2" s="1199"/>
      <c r="M2" s="1200"/>
      <c r="N2" s="1201" t="s">
        <v>461</v>
      </c>
      <c r="O2" s="1201"/>
      <c r="P2" s="1201"/>
      <c r="Q2" s="1201"/>
      <c r="R2" s="1426" t="s">
        <v>447</v>
      </c>
      <c r="S2" s="1205" t="s">
        <v>3320</v>
      </c>
      <c r="T2" s="1203"/>
      <c r="U2" s="1427" t="s">
        <v>3333</v>
      </c>
      <c r="V2" s="1428"/>
      <c r="W2" s="1428"/>
      <c r="X2" s="1428"/>
      <c r="Y2" s="1428"/>
      <c r="Z2" s="1428"/>
      <c r="AA2" s="1428"/>
      <c r="AB2" s="1428"/>
      <c r="AC2" s="1428"/>
      <c r="AD2" s="1428"/>
      <c r="AE2" s="1428"/>
      <c r="AF2" s="1428"/>
      <c r="AG2" s="1429"/>
      <c r="AI2" s="1430" t="s">
        <v>3334</v>
      </c>
      <c r="AJ2" s="1430"/>
      <c r="AK2" s="1430"/>
      <c r="AL2" s="1430"/>
      <c r="AM2" s="1430"/>
      <c r="AN2" s="1430"/>
      <c r="AO2" s="1430"/>
      <c r="AP2" s="1430"/>
      <c r="AR2" s="1412" t="s">
        <v>3401</v>
      </c>
      <c r="AS2" s="1408"/>
      <c r="AT2" s="1408"/>
      <c r="AU2" s="1408"/>
      <c r="AV2" s="1408"/>
      <c r="AW2" s="1408"/>
      <c r="AX2" s="1408" t="s">
        <v>3401</v>
      </c>
      <c r="AY2" s="1408"/>
      <c r="AZ2" s="1408"/>
      <c r="BA2" s="1408"/>
      <c r="BB2" s="1408"/>
      <c r="BC2" s="1408"/>
      <c r="BD2" s="1409"/>
      <c r="BF2" s="1414" t="s">
        <v>3402</v>
      </c>
      <c r="BG2" s="1410"/>
      <c r="BH2" s="1410"/>
      <c r="BI2" s="1410"/>
      <c r="BJ2" s="1410"/>
      <c r="BK2" s="1410"/>
      <c r="BL2" s="1410" t="s">
        <v>3402</v>
      </c>
      <c r="BM2" s="1410"/>
      <c r="BN2" s="1410"/>
      <c r="BO2" s="1410"/>
      <c r="BP2" s="1410"/>
      <c r="BQ2" s="1410"/>
      <c r="BR2" s="1411"/>
      <c r="BT2" s="1412" t="s">
        <v>3401</v>
      </c>
      <c r="BU2" s="1408"/>
      <c r="BV2" s="1408"/>
      <c r="BW2" s="1408"/>
      <c r="BX2" s="1408"/>
      <c r="BY2" s="1408"/>
      <c r="BZ2" s="1408" t="s">
        <v>3401</v>
      </c>
      <c r="CA2" s="1408"/>
      <c r="CB2" s="1408"/>
      <c r="CC2" s="1408"/>
      <c r="CD2" s="1408"/>
      <c r="CE2" s="1408"/>
      <c r="CF2" s="1409"/>
      <c r="CH2" s="1414" t="s">
        <v>3402</v>
      </c>
      <c r="CI2" s="1410"/>
      <c r="CJ2" s="1410"/>
      <c r="CK2" s="1410"/>
      <c r="CL2" s="1410"/>
      <c r="CM2" s="1410"/>
      <c r="CN2" s="1410" t="s">
        <v>3402</v>
      </c>
      <c r="CO2" s="1410"/>
      <c r="CP2" s="1410"/>
      <c r="CQ2" s="1410"/>
      <c r="CR2" s="1410"/>
      <c r="CS2" s="1410"/>
      <c r="CT2" s="1411"/>
    </row>
    <row r="3" spans="1:98" ht="43.9" customHeight="1" x14ac:dyDescent="0.25">
      <c r="A3" s="1299"/>
      <c r="B3" s="1300"/>
      <c r="C3" s="1299"/>
      <c r="D3" s="1300"/>
      <c r="E3" s="1299"/>
      <c r="F3" s="1300"/>
      <c r="G3" s="1418"/>
      <c r="H3" s="1418"/>
      <c r="I3" s="1198"/>
      <c r="J3" s="712" t="s">
        <v>1</v>
      </c>
      <c r="K3" s="712" t="s">
        <v>458</v>
      </c>
      <c r="L3" s="712" t="s">
        <v>459</v>
      </c>
      <c r="M3" s="712" t="s">
        <v>460</v>
      </c>
      <c r="N3" s="713" t="s">
        <v>1</v>
      </c>
      <c r="O3" s="713" t="s">
        <v>2</v>
      </c>
      <c r="P3" s="713" t="s">
        <v>460</v>
      </c>
      <c r="Q3" s="713" t="s">
        <v>462</v>
      </c>
      <c r="R3" s="1426"/>
      <c r="S3" s="1206"/>
      <c r="T3" s="1204"/>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27" t="s">
        <v>3079</v>
      </c>
      <c r="B4" s="1227" t="s">
        <v>3080</v>
      </c>
      <c r="C4" s="1227" t="s">
        <v>3081</v>
      </c>
      <c r="D4" s="1227"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183"/>
      <c r="B5" s="1183"/>
      <c r="C5" s="1183"/>
      <c r="D5" s="1183"/>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183"/>
      <c r="B6" s="1183"/>
      <c r="C6" s="1183"/>
      <c r="D6" s="1183"/>
      <c r="E6" s="1227" t="s">
        <v>3091</v>
      </c>
      <c r="F6" s="1227" t="s">
        <v>3092</v>
      </c>
      <c r="G6" s="1240">
        <v>75000000</v>
      </c>
      <c r="H6" s="1240">
        <v>25000000</v>
      </c>
      <c r="I6" s="1210">
        <v>25000000</v>
      </c>
      <c r="J6" s="1213" t="s">
        <v>3093</v>
      </c>
      <c r="K6" s="1213" t="s">
        <v>3276</v>
      </c>
      <c r="L6" s="1214">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183"/>
      <c r="B7" s="1183"/>
      <c r="C7" s="1183"/>
      <c r="D7" s="1183"/>
      <c r="E7" s="1183"/>
      <c r="F7" s="1183"/>
      <c r="G7" s="1241"/>
      <c r="H7" s="1241"/>
      <c r="I7" s="1211"/>
      <c r="J7" s="1192"/>
      <c r="K7" s="1192"/>
      <c r="L7" s="1215"/>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183"/>
      <c r="B8" s="1183"/>
      <c r="C8" s="1183"/>
      <c r="D8" s="1183"/>
      <c r="E8" s="1183"/>
      <c r="F8" s="1183"/>
      <c r="G8" s="1407"/>
      <c r="H8" s="1407"/>
      <c r="I8" s="1212"/>
      <c r="J8" s="1193"/>
      <c r="K8" s="1193"/>
      <c r="L8" s="1216"/>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194" t="s">
        <v>3405</v>
      </c>
      <c r="B10" s="1194"/>
      <c r="C10" s="1194"/>
      <c r="D10" s="1194"/>
      <c r="E10" s="1194"/>
      <c r="F10" s="1194"/>
      <c r="G10" s="728">
        <f>SUM(G4:G8)</f>
        <v>275000000</v>
      </c>
      <c r="H10" s="728">
        <f>SUM(H4:H8)</f>
        <v>225000000</v>
      </c>
      <c r="I10" s="728">
        <f>SUM(I4:I8)</f>
        <v>225000000</v>
      </c>
      <c r="J10" s="1233"/>
      <c r="K10" s="1248"/>
      <c r="L10" s="1248"/>
      <c r="M10" s="1266"/>
      <c r="N10" s="1194" t="s">
        <v>3405</v>
      </c>
      <c r="O10" s="1194"/>
      <c r="P10" s="1194"/>
      <c r="Q10" s="1194"/>
      <c r="R10" s="1194"/>
      <c r="S10" s="1194"/>
      <c r="T10" s="1194"/>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183"/>
      <c r="B12" s="1183"/>
      <c r="C12" s="1183"/>
      <c r="D12" s="1183"/>
      <c r="E12" s="707"/>
      <c r="F12" s="731"/>
      <c r="G12" s="717"/>
      <c r="H12" s="717"/>
      <c r="I12" s="717"/>
      <c r="J12" s="707"/>
      <c r="K12" s="731"/>
      <c r="L12" s="707"/>
      <c r="M12" s="733"/>
      <c r="N12" s="707" t="s">
        <v>3771</v>
      </c>
      <c r="O12" s="165" t="s">
        <v>3770</v>
      </c>
      <c r="P12" s="166"/>
      <c r="Q12" s="167"/>
      <c r="R12" s="561">
        <v>520</v>
      </c>
      <c r="S12" s="157"/>
      <c r="T12" s="1252"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183"/>
      <c r="B13" s="1183"/>
      <c r="C13" s="1183"/>
      <c r="D13" s="1183"/>
      <c r="E13" s="707"/>
      <c r="F13" s="731"/>
      <c r="G13" s="717"/>
      <c r="H13" s="717"/>
      <c r="I13" s="717"/>
      <c r="J13" s="707"/>
      <c r="K13" s="731"/>
      <c r="L13" s="707"/>
      <c r="M13" s="733"/>
      <c r="N13" s="707" t="s">
        <v>3772</v>
      </c>
      <c r="O13" s="165" t="s">
        <v>3774</v>
      </c>
      <c r="P13" s="166"/>
      <c r="Q13" s="167"/>
      <c r="R13" s="561">
        <v>520</v>
      </c>
      <c r="S13" s="157"/>
      <c r="T13" s="1252"/>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183"/>
      <c r="B14" s="1183"/>
      <c r="C14" s="1183"/>
      <c r="D14" s="1183"/>
      <c r="E14" s="707"/>
      <c r="F14" s="731"/>
      <c r="G14" s="717"/>
      <c r="H14" s="717"/>
      <c r="I14" s="717"/>
      <c r="J14" s="707"/>
      <c r="K14" s="731"/>
      <c r="L14" s="707"/>
      <c r="M14" s="733"/>
      <c r="N14" s="707" t="s">
        <v>3773</v>
      </c>
      <c r="O14" s="165" t="s">
        <v>3416</v>
      </c>
      <c r="P14" s="166"/>
      <c r="Q14" s="167"/>
      <c r="R14" s="561">
        <v>520</v>
      </c>
      <c r="S14" s="157"/>
      <c r="T14" s="1252"/>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183"/>
      <c r="B15" s="1183"/>
      <c r="C15" s="1183"/>
      <c r="D15" s="1183"/>
      <c r="E15" s="707"/>
      <c r="F15" s="731"/>
      <c r="G15" s="717"/>
      <c r="H15" s="717"/>
      <c r="I15" s="717"/>
      <c r="J15" s="707"/>
      <c r="K15" s="731"/>
      <c r="L15" s="707"/>
      <c r="M15" s="733"/>
      <c r="N15" s="707" t="s">
        <v>3775</v>
      </c>
      <c r="O15" s="165" t="s">
        <v>3776</v>
      </c>
      <c r="P15" s="166"/>
      <c r="Q15" s="167"/>
      <c r="R15" s="561">
        <v>520</v>
      </c>
      <c r="S15" s="157"/>
      <c r="T15" s="1252"/>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183"/>
      <c r="B16" s="1183"/>
      <c r="C16" s="1183"/>
      <c r="D16" s="1183"/>
      <c r="E16" s="707"/>
      <c r="F16" s="731"/>
      <c r="G16" s="717"/>
      <c r="H16" s="717"/>
      <c r="I16" s="717"/>
      <c r="J16" s="707"/>
      <c r="K16" s="731"/>
      <c r="L16" s="707"/>
      <c r="M16" s="733"/>
      <c r="N16" s="707" t="s">
        <v>3778</v>
      </c>
      <c r="O16" s="165" t="s">
        <v>3777</v>
      </c>
      <c r="P16" s="166"/>
      <c r="Q16" s="167"/>
      <c r="R16" s="561">
        <v>520</v>
      </c>
      <c r="S16" s="157"/>
      <c r="T16" s="1252"/>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183"/>
      <c r="B17" s="1183"/>
      <c r="C17" s="1183"/>
      <c r="D17" s="1183"/>
      <c r="E17" s="707"/>
      <c r="F17" s="731"/>
      <c r="G17" s="717"/>
      <c r="H17" s="717"/>
      <c r="I17" s="717"/>
      <c r="J17" s="707"/>
      <c r="K17" s="731"/>
      <c r="L17" s="707"/>
      <c r="M17" s="733"/>
      <c r="N17" s="707" t="s">
        <v>3779</v>
      </c>
      <c r="O17" s="165" t="s">
        <v>3780</v>
      </c>
      <c r="P17" s="166"/>
      <c r="Q17" s="167"/>
      <c r="R17" s="561">
        <v>520</v>
      </c>
      <c r="S17" s="157"/>
      <c r="T17" s="1253"/>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183"/>
      <c r="B18" s="1183"/>
      <c r="C18" s="1183"/>
      <c r="D18" s="1183"/>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51"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183"/>
      <c r="B19" s="1183"/>
      <c r="C19" s="1183"/>
      <c r="D19" s="1183"/>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52"/>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413"/>
      <c r="B20" s="1413"/>
      <c r="C20" s="1413"/>
      <c r="D20" s="1413"/>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52"/>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194" t="s">
        <v>3406</v>
      </c>
      <c r="B21" s="1194"/>
      <c r="C21" s="1194"/>
      <c r="D21" s="1194"/>
      <c r="E21" s="1194"/>
      <c r="F21" s="1194"/>
      <c r="G21" s="728">
        <f>SUM(G12:G20)</f>
        <v>275000000</v>
      </c>
      <c r="H21" s="728">
        <f>SUM(H12:H20)</f>
        <v>290000000</v>
      </c>
      <c r="I21" s="728">
        <f>SUM(I12:I20)</f>
        <v>290000000</v>
      </c>
      <c r="J21" s="1233"/>
      <c r="K21" s="1248"/>
      <c r="L21" s="1248"/>
      <c r="M21" s="1266"/>
      <c r="N21" s="1194" t="s">
        <v>3406</v>
      </c>
      <c r="O21" s="1194"/>
      <c r="P21" s="1194"/>
      <c r="Q21" s="1194"/>
      <c r="R21" s="1194"/>
      <c r="S21" s="1194"/>
      <c r="T21" s="1194"/>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183" t="s">
        <v>2923</v>
      </c>
      <c r="B23" s="1183" t="s">
        <v>3162</v>
      </c>
      <c r="C23" s="1183" t="s">
        <v>2925</v>
      </c>
      <c r="D23" s="1183" t="s">
        <v>3163</v>
      </c>
      <c r="E23" s="1183" t="s">
        <v>2927</v>
      </c>
      <c r="F23" s="1183"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406"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183"/>
      <c r="B24" s="1183"/>
      <c r="C24" s="1183"/>
      <c r="D24" s="1183"/>
      <c r="E24" s="1184"/>
      <c r="F24" s="1184"/>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406"/>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183"/>
      <c r="B25" s="1183"/>
      <c r="C25" s="1183"/>
      <c r="D25" s="1183"/>
      <c r="E25" s="707"/>
      <c r="F25" s="707"/>
      <c r="G25" s="717"/>
      <c r="H25" s="101"/>
      <c r="I25" s="101"/>
      <c r="J25" s="2"/>
      <c r="K25" s="100"/>
      <c r="L25" s="2"/>
      <c r="M25" s="101"/>
      <c r="N25" s="707" t="s">
        <v>3788</v>
      </c>
      <c r="O25" s="154" t="s">
        <v>3798</v>
      </c>
      <c r="P25" s="170"/>
      <c r="Q25" s="155"/>
      <c r="R25" s="561">
        <v>510</v>
      </c>
      <c r="S25" s="157"/>
      <c r="T25" s="1406"/>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183"/>
      <c r="B26" s="1183"/>
      <c r="C26" s="1183"/>
      <c r="D26" s="1183"/>
      <c r="E26" s="707"/>
      <c r="F26" s="707"/>
      <c r="G26" s="717"/>
      <c r="H26" s="101"/>
      <c r="I26" s="101"/>
      <c r="J26" s="2"/>
      <c r="K26" s="100"/>
      <c r="L26" s="2"/>
      <c r="M26" s="101"/>
      <c r="N26" s="707" t="s">
        <v>3789</v>
      </c>
      <c r="O26" s="154" t="s">
        <v>3799</v>
      </c>
      <c r="P26" s="170"/>
      <c r="Q26" s="155"/>
      <c r="R26" s="561">
        <v>510</v>
      </c>
      <c r="S26" s="157"/>
      <c r="T26" s="1406"/>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183"/>
      <c r="B27" s="1183"/>
      <c r="C27" s="1183"/>
      <c r="D27" s="1183"/>
      <c r="E27" s="707"/>
      <c r="F27" s="707"/>
      <c r="G27" s="717"/>
      <c r="H27" s="101"/>
      <c r="I27" s="101"/>
      <c r="J27" s="2"/>
      <c r="K27" s="100"/>
      <c r="L27" s="2"/>
      <c r="M27" s="101"/>
      <c r="N27" s="707" t="s">
        <v>3790</v>
      </c>
      <c r="O27" s="154" t="s">
        <v>3824</v>
      </c>
      <c r="P27" s="170"/>
      <c r="Q27" s="155"/>
      <c r="R27" s="561">
        <v>510</v>
      </c>
      <c r="S27" s="157"/>
      <c r="T27" s="1406"/>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183"/>
      <c r="B28" s="1183"/>
      <c r="C28" s="1183"/>
      <c r="D28" s="1183"/>
      <c r="E28" s="707"/>
      <c r="F28" s="707"/>
      <c r="G28" s="717"/>
      <c r="H28" s="101"/>
      <c r="I28" s="101"/>
      <c r="J28" s="2"/>
      <c r="K28" s="100"/>
      <c r="L28" s="2"/>
      <c r="M28" s="101"/>
      <c r="N28" s="707" t="s">
        <v>3791</v>
      </c>
      <c r="O28" s="154" t="s">
        <v>3800</v>
      </c>
      <c r="P28" s="170"/>
      <c r="Q28" s="155"/>
      <c r="R28" s="561">
        <v>510</v>
      </c>
      <c r="S28" s="157"/>
      <c r="T28" s="1406"/>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183"/>
      <c r="B29" s="1183"/>
      <c r="C29" s="1183"/>
      <c r="D29" s="1183"/>
      <c r="E29" s="707"/>
      <c r="F29" s="707"/>
      <c r="G29" s="717"/>
      <c r="H29" s="101"/>
      <c r="I29" s="101"/>
      <c r="J29" s="2"/>
      <c r="K29" s="100"/>
      <c r="L29" s="2"/>
      <c r="M29" s="101"/>
      <c r="N29" s="707" t="s">
        <v>3792</v>
      </c>
      <c r="O29" s="154" t="s">
        <v>3801</v>
      </c>
      <c r="P29" s="170"/>
      <c r="Q29" s="155"/>
      <c r="R29" s="561">
        <v>510</v>
      </c>
      <c r="S29" s="157"/>
      <c r="T29" s="1406"/>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183"/>
      <c r="B30" s="1183"/>
      <c r="C30" s="1183"/>
      <c r="D30" s="1183"/>
      <c r="E30" s="707"/>
      <c r="F30" s="707"/>
      <c r="G30" s="717"/>
      <c r="H30" s="101"/>
      <c r="I30" s="101"/>
      <c r="J30" s="2"/>
      <c r="K30" s="100"/>
      <c r="L30" s="2"/>
      <c r="M30" s="101"/>
      <c r="N30" s="707" t="s">
        <v>3793</v>
      </c>
      <c r="O30" s="154" t="s">
        <v>3802</v>
      </c>
      <c r="P30" s="170"/>
      <c r="Q30" s="155"/>
      <c r="R30" s="561">
        <v>510</v>
      </c>
      <c r="S30" s="157"/>
      <c r="T30" s="1406"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183"/>
      <c r="B31" s="1183"/>
      <c r="C31" s="1183"/>
      <c r="D31" s="1183"/>
      <c r="E31" s="707"/>
      <c r="F31" s="707"/>
      <c r="G31" s="717"/>
      <c r="H31" s="101"/>
      <c r="I31" s="101"/>
      <c r="J31" s="2"/>
      <c r="K31" s="100"/>
      <c r="L31" s="2"/>
      <c r="M31" s="101"/>
      <c r="N31" s="707" t="s">
        <v>3794</v>
      </c>
      <c r="O31" s="154" t="s">
        <v>3803</v>
      </c>
      <c r="P31" s="170"/>
      <c r="Q31" s="155"/>
      <c r="R31" s="561">
        <v>510</v>
      </c>
      <c r="S31" s="157"/>
      <c r="T31" s="1406"/>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183"/>
      <c r="B32" s="1183"/>
      <c r="C32" s="1183"/>
      <c r="D32" s="1183"/>
      <c r="E32" s="707"/>
      <c r="F32" s="707"/>
      <c r="G32" s="717"/>
      <c r="H32" s="101"/>
      <c r="I32" s="101"/>
      <c r="J32" s="2"/>
      <c r="K32" s="100"/>
      <c r="L32" s="2"/>
      <c r="M32" s="101"/>
      <c r="N32" s="707" t="s">
        <v>3795</v>
      </c>
      <c r="O32" s="154" t="s">
        <v>3804</v>
      </c>
      <c r="P32" s="170"/>
      <c r="Q32" s="155"/>
      <c r="R32" s="561">
        <v>510</v>
      </c>
      <c r="S32" s="157"/>
      <c r="T32" s="1406"/>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183"/>
      <c r="B33" s="1183"/>
      <c r="C33" s="1183"/>
      <c r="D33" s="1183"/>
      <c r="E33" s="707"/>
      <c r="F33" s="707"/>
      <c r="G33" s="717"/>
      <c r="H33" s="101"/>
      <c r="I33" s="101"/>
      <c r="J33" s="2"/>
      <c r="K33" s="100"/>
      <c r="L33" s="2"/>
      <c r="M33" s="101"/>
      <c r="N33" s="707" t="s">
        <v>3796</v>
      </c>
      <c r="O33" s="154" t="s">
        <v>3805</v>
      </c>
      <c r="P33" s="170"/>
      <c r="Q33" s="155"/>
      <c r="R33" s="561">
        <v>510</v>
      </c>
      <c r="S33" s="157"/>
      <c r="T33" s="1406"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183"/>
      <c r="B34" s="1183"/>
      <c r="C34" s="1183"/>
      <c r="D34" s="1183"/>
      <c r="E34" s="707"/>
      <c r="F34" s="707"/>
      <c r="G34" s="717"/>
      <c r="H34" s="101"/>
      <c r="I34" s="101"/>
      <c r="J34" s="2"/>
      <c r="K34" s="100"/>
      <c r="L34" s="2"/>
      <c r="M34" s="101"/>
      <c r="N34" s="707" t="s">
        <v>4074</v>
      </c>
      <c r="O34" s="154" t="s">
        <v>4075</v>
      </c>
      <c r="P34" s="170"/>
      <c r="Q34" s="155"/>
      <c r="R34" s="561">
        <v>510</v>
      </c>
      <c r="S34" s="157"/>
      <c r="T34" s="1406"/>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183"/>
      <c r="B35" s="1183"/>
      <c r="C35" s="1183"/>
      <c r="D35" s="1183"/>
      <c r="E35" s="707"/>
      <c r="F35" s="707"/>
      <c r="G35" s="717"/>
      <c r="H35" s="101"/>
      <c r="I35" s="101"/>
      <c r="J35" s="2"/>
      <c r="K35" s="100"/>
      <c r="L35" s="2"/>
      <c r="M35" s="101"/>
      <c r="N35" s="707" t="s">
        <v>3806</v>
      </c>
      <c r="O35" s="154" t="s">
        <v>3815</v>
      </c>
      <c r="P35" s="170"/>
      <c r="Q35" s="155"/>
      <c r="R35" s="561">
        <v>510</v>
      </c>
      <c r="S35" s="157"/>
      <c r="T35" s="1406"/>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183"/>
      <c r="B36" s="1183"/>
      <c r="C36" s="1183"/>
      <c r="D36" s="1183"/>
      <c r="E36" s="707"/>
      <c r="F36" s="707"/>
      <c r="G36" s="717"/>
      <c r="H36" s="101"/>
      <c r="I36" s="101"/>
      <c r="J36" s="2"/>
      <c r="K36" s="100"/>
      <c r="L36" s="2"/>
      <c r="M36" s="101"/>
      <c r="N36" s="707" t="s">
        <v>3807</v>
      </c>
      <c r="O36" s="154" t="s">
        <v>3816</v>
      </c>
      <c r="P36" s="170"/>
      <c r="Q36" s="155"/>
      <c r="R36" s="561">
        <v>510</v>
      </c>
      <c r="S36" s="157"/>
      <c r="T36" s="1406"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183"/>
      <c r="B37" s="1183"/>
      <c r="C37" s="1183"/>
      <c r="D37" s="1183"/>
      <c r="E37" s="707"/>
      <c r="F37" s="707"/>
      <c r="G37" s="717"/>
      <c r="H37" s="101"/>
      <c r="I37" s="101"/>
      <c r="J37" s="2"/>
      <c r="K37" s="100"/>
      <c r="L37" s="2"/>
      <c r="M37" s="101"/>
      <c r="N37" s="707" t="s">
        <v>3808</v>
      </c>
      <c r="O37" s="154" t="s">
        <v>3817</v>
      </c>
      <c r="P37" s="170"/>
      <c r="Q37" s="155"/>
      <c r="R37" s="561">
        <v>510</v>
      </c>
      <c r="S37" s="157"/>
      <c r="T37" s="1406"/>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183"/>
      <c r="B38" s="1183"/>
      <c r="C38" s="1183"/>
      <c r="D38" s="1183"/>
      <c r="E38" s="707"/>
      <c r="F38" s="707"/>
      <c r="G38" s="717"/>
      <c r="H38" s="101"/>
      <c r="I38" s="101"/>
      <c r="J38" s="2"/>
      <c r="K38" s="100"/>
      <c r="L38" s="2"/>
      <c r="M38" s="101"/>
      <c r="N38" s="707" t="s">
        <v>3809</v>
      </c>
      <c r="O38" s="154" t="s">
        <v>3818</v>
      </c>
      <c r="P38" s="170"/>
      <c r="Q38" s="155"/>
      <c r="R38" s="561">
        <v>510</v>
      </c>
      <c r="S38" s="157"/>
      <c r="T38" s="1251"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183"/>
      <c r="B39" s="1183"/>
      <c r="C39" s="1183"/>
      <c r="D39" s="1183"/>
      <c r="E39" s="707"/>
      <c r="F39" s="707"/>
      <c r="G39" s="717"/>
      <c r="H39" s="101"/>
      <c r="I39" s="101"/>
      <c r="J39" s="2"/>
      <c r="K39" s="100"/>
      <c r="L39" s="2"/>
      <c r="M39" s="101"/>
      <c r="N39" s="707" t="s">
        <v>3810</v>
      </c>
      <c r="O39" s="154" t="s">
        <v>3819</v>
      </c>
      <c r="P39" s="170"/>
      <c r="Q39" s="155"/>
      <c r="R39" s="561">
        <v>510</v>
      </c>
      <c r="S39" s="157"/>
      <c r="T39" s="1252"/>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183"/>
      <c r="B40" s="1183"/>
      <c r="C40" s="1183"/>
      <c r="D40" s="1183"/>
      <c r="E40" s="707"/>
      <c r="F40" s="707"/>
      <c r="G40" s="717"/>
      <c r="H40" s="101"/>
      <c r="I40" s="101"/>
      <c r="J40" s="2"/>
      <c r="K40" s="100"/>
      <c r="L40" s="2"/>
      <c r="M40" s="101"/>
      <c r="N40" s="707" t="s">
        <v>3811</v>
      </c>
      <c r="O40" s="154" t="s">
        <v>3820</v>
      </c>
      <c r="P40" s="170"/>
      <c r="Q40" s="155"/>
      <c r="R40" s="561">
        <v>510</v>
      </c>
      <c r="S40" s="157"/>
      <c r="T40" s="1252"/>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183"/>
      <c r="B41" s="1183"/>
      <c r="C41" s="1183"/>
      <c r="D41" s="1183"/>
      <c r="E41" s="707"/>
      <c r="F41" s="707"/>
      <c r="G41" s="717"/>
      <c r="H41" s="101"/>
      <c r="I41" s="101"/>
      <c r="J41" s="2"/>
      <c r="K41" s="100"/>
      <c r="L41" s="2"/>
      <c r="M41" s="101"/>
      <c r="N41" s="707" t="s">
        <v>3812</v>
      </c>
      <c r="O41" s="154" t="s">
        <v>3821</v>
      </c>
      <c r="P41" s="170"/>
      <c r="Q41" s="155"/>
      <c r="R41" s="561">
        <v>510</v>
      </c>
      <c r="S41" s="157"/>
      <c r="T41" s="1252"/>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183"/>
      <c r="B42" s="1183"/>
      <c r="C42" s="1183"/>
      <c r="D42" s="1183"/>
      <c r="E42" s="707"/>
      <c r="F42" s="707"/>
      <c r="G42" s="717"/>
      <c r="H42" s="101"/>
      <c r="I42" s="101"/>
      <c r="J42" s="2"/>
      <c r="K42" s="100"/>
      <c r="L42" s="2"/>
      <c r="M42" s="101"/>
      <c r="N42" s="707" t="s">
        <v>3813</v>
      </c>
      <c r="O42" s="154" t="s">
        <v>3822</v>
      </c>
      <c r="P42" s="170"/>
      <c r="Q42" s="155"/>
      <c r="R42" s="561">
        <v>510</v>
      </c>
      <c r="S42" s="157"/>
      <c r="T42" s="1252"/>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183"/>
      <c r="B43" s="1183"/>
      <c r="C43" s="1183"/>
      <c r="D43" s="1183"/>
      <c r="E43" s="707"/>
      <c r="F43" s="707"/>
      <c r="G43" s="717"/>
      <c r="H43" s="101"/>
      <c r="I43" s="101"/>
      <c r="J43" s="2"/>
      <c r="K43" s="100"/>
      <c r="L43" s="2"/>
      <c r="M43" s="101"/>
      <c r="N43" s="707" t="s">
        <v>3814</v>
      </c>
      <c r="O43" s="154" t="s">
        <v>3823</v>
      </c>
      <c r="P43" s="170"/>
      <c r="Q43" s="155"/>
      <c r="R43" s="561">
        <v>510</v>
      </c>
      <c r="S43" s="157"/>
      <c r="T43" s="1253"/>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184"/>
      <c r="B44" s="1184"/>
      <c r="C44" s="1184"/>
      <c r="D44" s="1184"/>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399"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400"/>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401"/>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27" t="s">
        <v>2923</v>
      </c>
      <c r="B47" s="1227" t="s">
        <v>3162</v>
      </c>
      <c r="C47" s="1227" t="s">
        <v>3003</v>
      </c>
      <c r="D47" s="1227"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399"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183"/>
      <c r="B48" s="1183"/>
      <c r="C48" s="1183"/>
      <c r="D48" s="1183"/>
      <c r="E48" s="714"/>
      <c r="F48" s="721"/>
      <c r="G48" s="107"/>
      <c r="H48" s="107"/>
      <c r="I48" s="107"/>
      <c r="J48" s="2"/>
      <c r="K48" s="100"/>
      <c r="L48" s="2"/>
      <c r="M48" s="101"/>
      <c r="N48" s="2" t="s">
        <v>3832</v>
      </c>
      <c r="O48" s="154" t="s">
        <v>3834</v>
      </c>
      <c r="P48" s="155"/>
      <c r="Q48" s="155"/>
      <c r="R48" s="561">
        <v>510</v>
      </c>
      <c r="S48" s="157"/>
      <c r="T48" s="1401"/>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183"/>
      <c r="B49" s="1183"/>
      <c r="C49" s="1183"/>
      <c r="D49" s="1183"/>
      <c r="E49" s="1227" t="s">
        <v>3018</v>
      </c>
      <c r="F49" s="1227"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406"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183"/>
      <c r="B50" s="1183"/>
      <c r="C50" s="1183"/>
      <c r="D50" s="1183"/>
      <c r="E50" s="1183"/>
      <c r="F50" s="1183"/>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406"/>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183"/>
      <c r="B51" s="1183"/>
      <c r="C51" s="1183"/>
      <c r="D51" s="1183"/>
      <c r="E51" s="1183"/>
      <c r="F51" s="1183"/>
      <c r="G51" s="107"/>
      <c r="H51" s="107"/>
      <c r="I51" s="107"/>
      <c r="J51" s="714"/>
      <c r="K51" s="721"/>
      <c r="L51" s="714"/>
      <c r="M51" s="101"/>
      <c r="N51" s="2" t="s">
        <v>3837</v>
      </c>
      <c r="O51" s="154" t="s">
        <v>3847</v>
      </c>
      <c r="P51" s="155"/>
      <c r="Q51" s="155"/>
      <c r="R51" s="561">
        <v>510</v>
      </c>
      <c r="S51" s="157"/>
      <c r="T51" s="1406"/>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183"/>
      <c r="B52" s="1183"/>
      <c r="C52" s="1183"/>
      <c r="D52" s="1183"/>
      <c r="E52" s="1183"/>
      <c r="F52" s="1183"/>
      <c r="G52" s="107"/>
      <c r="H52" s="107"/>
      <c r="I52" s="107"/>
      <c r="J52" s="714"/>
      <c r="K52" s="721"/>
      <c r="L52" s="714"/>
      <c r="M52" s="101"/>
      <c r="N52" s="2" t="s">
        <v>3838</v>
      </c>
      <c r="O52" s="154" t="s">
        <v>3848</v>
      </c>
      <c r="P52" s="155"/>
      <c r="Q52" s="155"/>
      <c r="R52" s="561">
        <v>510</v>
      </c>
      <c r="S52" s="157"/>
      <c r="T52" s="1406"/>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183"/>
      <c r="B53" s="1183"/>
      <c r="C53" s="1183"/>
      <c r="D53" s="1183"/>
      <c r="E53" s="1183"/>
      <c r="F53" s="1183"/>
      <c r="G53" s="107"/>
      <c r="H53" s="107"/>
      <c r="I53" s="107"/>
      <c r="J53" s="714"/>
      <c r="K53" s="721"/>
      <c r="L53" s="714"/>
      <c r="M53" s="101"/>
      <c r="N53" s="2" t="s">
        <v>3839</v>
      </c>
      <c r="O53" s="154" t="s">
        <v>3849</v>
      </c>
      <c r="P53" s="155"/>
      <c r="Q53" s="155"/>
      <c r="R53" s="561">
        <v>510</v>
      </c>
      <c r="S53" s="157"/>
      <c r="T53" s="1406"/>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183"/>
      <c r="B54" s="1183"/>
      <c r="C54" s="1183"/>
      <c r="D54" s="1183"/>
      <c r="E54" s="1183"/>
      <c r="F54" s="1183"/>
      <c r="G54" s="107"/>
      <c r="H54" s="107"/>
      <c r="I54" s="107"/>
      <c r="J54" s="714"/>
      <c r="K54" s="721"/>
      <c r="L54" s="714"/>
      <c r="M54" s="101"/>
      <c r="N54" s="2" t="s">
        <v>3840</v>
      </c>
      <c r="O54" s="154" t="s">
        <v>3850</v>
      </c>
      <c r="P54" s="155"/>
      <c r="Q54" s="155"/>
      <c r="R54" s="561">
        <v>510</v>
      </c>
      <c r="S54" s="157"/>
      <c r="T54" s="1251"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183"/>
      <c r="B55" s="1183"/>
      <c r="C55" s="1183"/>
      <c r="D55" s="1183"/>
      <c r="E55" s="1183"/>
      <c r="F55" s="1183"/>
      <c r="G55" s="107"/>
      <c r="H55" s="107"/>
      <c r="I55" s="107"/>
      <c r="J55" s="714"/>
      <c r="K55" s="721"/>
      <c r="L55" s="714"/>
      <c r="M55" s="101"/>
      <c r="N55" s="2" t="s">
        <v>3841</v>
      </c>
      <c r="O55" s="154" t="s">
        <v>3851</v>
      </c>
      <c r="P55" s="155"/>
      <c r="Q55" s="155"/>
      <c r="R55" s="561">
        <v>510</v>
      </c>
      <c r="S55" s="157"/>
      <c r="T55" s="1252"/>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183"/>
      <c r="B56" s="1183"/>
      <c r="C56" s="1183"/>
      <c r="D56" s="1183"/>
      <c r="E56" s="1183"/>
      <c r="F56" s="1183"/>
      <c r="G56" s="107"/>
      <c r="H56" s="107"/>
      <c r="I56" s="107"/>
      <c r="J56" s="714"/>
      <c r="K56" s="721"/>
      <c r="L56" s="714"/>
      <c r="M56" s="101"/>
      <c r="N56" s="2" t="s">
        <v>3842</v>
      </c>
      <c r="O56" s="154" t="s">
        <v>3852</v>
      </c>
      <c r="P56" s="155"/>
      <c r="Q56" s="155"/>
      <c r="R56" s="561">
        <v>510</v>
      </c>
      <c r="S56" s="157"/>
      <c r="T56" s="1252"/>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183"/>
      <c r="B57" s="1183"/>
      <c r="C57" s="1183"/>
      <c r="D57" s="1183"/>
      <c r="E57" s="1183"/>
      <c r="F57" s="1183"/>
      <c r="G57" s="107"/>
      <c r="H57" s="107"/>
      <c r="I57" s="107"/>
      <c r="J57" s="714"/>
      <c r="K57" s="721"/>
      <c r="L57" s="714"/>
      <c r="M57" s="101"/>
      <c r="N57" s="2" t="s">
        <v>3843</v>
      </c>
      <c r="O57" s="154" t="s">
        <v>3853</v>
      </c>
      <c r="P57" s="155"/>
      <c r="Q57" s="155"/>
      <c r="R57" s="561">
        <v>510</v>
      </c>
      <c r="S57" s="157"/>
      <c r="T57" s="1252"/>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183"/>
      <c r="B58" s="1183"/>
      <c r="C58" s="1183"/>
      <c r="D58" s="1183"/>
      <c r="E58" s="1183"/>
      <c r="F58" s="1183"/>
      <c r="G58" s="107"/>
      <c r="H58" s="107"/>
      <c r="I58" s="107"/>
      <c r="J58" s="714"/>
      <c r="K58" s="721"/>
      <c r="L58" s="714"/>
      <c r="M58" s="101"/>
      <c r="N58" s="2" t="s">
        <v>3844</v>
      </c>
      <c r="O58" s="154" t="s">
        <v>3854</v>
      </c>
      <c r="P58" s="155"/>
      <c r="Q58" s="155"/>
      <c r="R58" s="561">
        <v>510</v>
      </c>
      <c r="S58" s="157"/>
      <c r="T58" s="1252"/>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183"/>
      <c r="B59" s="1183"/>
      <c r="C59" s="1183"/>
      <c r="D59" s="1183"/>
      <c r="E59" s="1183"/>
      <c r="F59" s="1183"/>
      <c r="G59" s="107"/>
      <c r="H59" s="107"/>
      <c r="I59" s="107"/>
      <c r="J59" s="714"/>
      <c r="K59" s="721"/>
      <c r="L59" s="714"/>
      <c r="M59" s="101"/>
      <c r="N59" s="2" t="s">
        <v>3845</v>
      </c>
      <c r="O59" s="154" t="s">
        <v>3855</v>
      </c>
      <c r="P59" s="155"/>
      <c r="Q59" s="155"/>
      <c r="R59" s="561">
        <v>510</v>
      </c>
      <c r="S59" s="157"/>
      <c r="T59" s="1253"/>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184"/>
      <c r="B60" s="1184"/>
      <c r="C60" s="1184"/>
      <c r="D60" s="1184"/>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399"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401"/>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27" t="s">
        <v>2923</v>
      </c>
      <c r="B69" s="1254" t="s">
        <v>3162</v>
      </c>
      <c r="C69" s="1227" t="s">
        <v>2943</v>
      </c>
      <c r="D69" s="1254" t="s">
        <v>3170</v>
      </c>
      <c r="E69" s="1227" t="s">
        <v>2961</v>
      </c>
      <c r="F69" s="1254" t="s">
        <v>3177</v>
      </c>
      <c r="G69" s="1240">
        <v>900000000</v>
      </c>
      <c r="H69" s="1240">
        <v>900000000</v>
      </c>
      <c r="I69" s="1260">
        <v>900000000</v>
      </c>
      <c r="J69" s="1194" t="s">
        <v>2964</v>
      </c>
      <c r="K69" s="1194" t="s">
        <v>3221</v>
      </c>
      <c r="L69" s="1194">
        <v>9</v>
      </c>
      <c r="M69" s="106">
        <v>0</v>
      </c>
      <c r="N69" s="2" t="s">
        <v>3880</v>
      </c>
      <c r="O69" s="154" t="s">
        <v>3883</v>
      </c>
      <c r="P69" s="155">
        <v>390000000</v>
      </c>
      <c r="Q69" s="158">
        <v>543000000</v>
      </c>
      <c r="R69" s="151">
        <v>310</v>
      </c>
      <c r="S69" s="157">
        <f t="shared" ref="S69:S77" si="49">+Q69-U69</f>
        <v>443000000</v>
      </c>
      <c r="T69" s="1399"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183"/>
      <c r="B70" s="1255"/>
      <c r="C70" s="1183"/>
      <c r="D70" s="1255"/>
      <c r="E70" s="1183"/>
      <c r="F70" s="1255"/>
      <c r="G70" s="1241"/>
      <c r="H70" s="1241"/>
      <c r="I70" s="1261"/>
      <c r="J70" s="1194"/>
      <c r="K70" s="1194"/>
      <c r="L70" s="1194"/>
      <c r="M70" s="724"/>
      <c r="N70" s="2" t="s">
        <v>3881</v>
      </c>
      <c r="O70" s="154" t="s">
        <v>3884</v>
      </c>
      <c r="P70" s="155">
        <v>25000000</v>
      </c>
      <c r="Q70" s="158">
        <v>40000000</v>
      </c>
      <c r="R70" s="151">
        <v>310</v>
      </c>
      <c r="S70" s="157">
        <f t="shared" si="49"/>
        <v>-616970754</v>
      </c>
      <c r="T70" s="1400"/>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183"/>
      <c r="B71" s="1255"/>
      <c r="C71" s="1183"/>
      <c r="D71" s="1255"/>
      <c r="E71" s="1183"/>
      <c r="F71" s="1255"/>
      <c r="G71" s="1241"/>
      <c r="H71" s="1241"/>
      <c r="I71" s="1261"/>
      <c r="J71" s="1194"/>
      <c r="K71" s="1194"/>
      <c r="L71" s="1194"/>
      <c r="M71" s="724"/>
      <c r="N71" s="2" t="s">
        <v>3882</v>
      </c>
      <c r="O71" s="154" t="s">
        <v>3885</v>
      </c>
      <c r="P71" s="155">
        <v>60000000</v>
      </c>
      <c r="Q71" s="158">
        <v>132000000</v>
      </c>
      <c r="R71" s="151">
        <v>310</v>
      </c>
      <c r="S71" s="157">
        <f t="shared" si="49"/>
        <v>-48000000</v>
      </c>
      <c r="T71" s="1401"/>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27" t="s">
        <v>2923</v>
      </c>
      <c r="B72" s="1227" t="s">
        <v>3162</v>
      </c>
      <c r="C72" s="1227" t="s">
        <v>2943</v>
      </c>
      <c r="D72" s="1227"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51"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183"/>
      <c r="B73" s="1183"/>
      <c r="C73" s="1183"/>
      <c r="D73" s="1183"/>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52"/>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184"/>
      <c r="B74" s="1184"/>
      <c r="C74" s="1184"/>
      <c r="D74" s="1184"/>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53"/>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27" t="s">
        <v>2923</v>
      </c>
      <c r="B75" s="1254" t="s">
        <v>3162</v>
      </c>
      <c r="C75" s="1227" t="s">
        <v>2943</v>
      </c>
      <c r="D75" s="1254" t="s">
        <v>3170</v>
      </c>
      <c r="E75" s="1227" t="s">
        <v>2988</v>
      </c>
      <c r="F75" s="1254" t="s">
        <v>3180</v>
      </c>
      <c r="G75" s="1240">
        <v>122000000</v>
      </c>
      <c r="H75" s="1240">
        <v>170000000</v>
      </c>
      <c r="I75" s="1260">
        <v>170000000</v>
      </c>
      <c r="J75" s="1194" t="s">
        <v>2990</v>
      </c>
      <c r="K75" s="1194" t="s">
        <v>3272</v>
      </c>
      <c r="L75" s="1194">
        <v>5</v>
      </c>
      <c r="M75" s="106">
        <v>0</v>
      </c>
      <c r="N75" s="2" t="s">
        <v>3887</v>
      </c>
      <c r="O75" s="154" t="s">
        <v>3181</v>
      </c>
      <c r="P75" s="155">
        <v>70000000</v>
      </c>
      <c r="Q75" s="155">
        <v>70000000</v>
      </c>
      <c r="R75" s="151">
        <v>410</v>
      </c>
      <c r="S75" s="157">
        <f t="shared" si="49"/>
        <v>55000000</v>
      </c>
      <c r="T75" s="1263"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183"/>
      <c r="B76" s="1255"/>
      <c r="C76" s="1183"/>
      <c r="D76" s="1255"/>
      <c r="E76" s="1183"/>
      <c r="F76" s="1255"/>
      <c r="G76" s="1256"/>
      <c r="H76" s="1256"/>
      <c r="I76" s="1262"/>
      <c r="J76" s="1194"/>
      <c r="K76" s="1194"/>
      <c r="L76" s="1194"/>
      <c r="M76" s="102"/>
      <c r="N76" s="2" t="s">
        <v>3888</v>
      </c>
      <c r="O76" s="154" t="s">
        <v>3237</v>
      </c>
      <c r="P76" s="155">
        <v>50000000</v>
      </c>
      <c r="Q76" s="155">
        <v>50000000</v>
      </c>
      <c r="R76" s="151">
        <v>410</v>
      </c>
      <c r="S76" s="157">
        <f t="shared" si="49"/>
        <v>48000000</v>
      </c>
      <c r="T76" s="1264"/>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183"/>
      <c r="B77" s="1255"/>
      <c r="C77" s="1183"/>
      <c r="D77" s="1255"/>
      <c r="E77" s="1183"/>
      <c r="F77" s="1255"/>
      <c r="G77" s="1256"/>
      <c r="H77" s="1256"/>
      <c r="I77" s="1262"/>
      <c r="J77" s="1194"/>
      <c r="K77" s="1194"/>
      <c r="L77" s="1194"/>
      <c r="M77" s="102"/>
      <c r="N77" s="2" t="s">
        <v>3889</v>
      </c>
      <c r="O77" s="154" t="s">
        <v>394</v>
      </c>
      <c r="P77" s="155">
        <v>50000000</v>
      </c>
      <c r="Q77" s="155">
        <v>50000000</v>
      </c>
      <c r="R77" s="151">
        <v>410</v>
      </c>
      <c r="S77" s="157">
        <f t="shared" si="49"/>
        <v>27000000</v>
      </c>
      <c r="T77" s="1265"/>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27" t="s">
        <v>2923</v>
      </c>
      <c r="B79" s="1227" t="s">
        <v>3162</v>
      </c>
      <c r="C79" s="1227" t="s">
        <v>2943</v>
      </c>
      <c r="D79" s="1227"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184"/>
      <c r="B80" s="1184"/>
      <c r="C80" s="1184"/>
      <c r="D80" s="1184"/>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63"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264"/>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65"/>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194" t="s">
        <v>3407</v>
      </c>
      <c r="B86" s="1194"/>
      <c r="C86" s="1194"/>
      <c r="D86" s="1194"/>
      <c r="E86" s="1194"/>
      <c r="F86" s="1194"/>
      <c r="G86" s="728">
        <f>SUM(G23:G85)</f>
        <v>2993000000</v>
      </c>
      <c r="H86" s="728">
        <f>SUM(H23:H85)</f>
        <v>3278000000</v>
      </c>
      <c r="I86" s="728">
        <f>SUM(I79:I85)</f>
        <v>1090000000</v>
      </c>
      <c r="J86" s="1233"/>
      <c r="K86" s="1248"/>
      <c r="L86" s="1248"/>
      <c r="M86" s="1266"/>
      <c r="N86" s="1194" t="s">
        <v>3407</v>
      </c>
      <c r="O86" s="1194"/>
      <c r="P86" s="1194"/>
      <c r="Q86" s="1194"/>
      <c r="R86" s="1194"/>
      <c r="S86" s="1194"/>
      <c r="T86" s="1194"/>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27" t="s">
        <v>2814</v>
      </c>
      <c r="B88" s="1254" t="s">
        <v>3138</v>
      </c>
      <c r="C88" s="1227" t="s">
        <v>2816</v>
      </c>
      <c r="D88" s="1254" t="s">
        <v>3140</v>
      </c>
      <c r="E88" s="1227" t="s">
        <v>2822</v>
      </c>
      <c r="F88" s="1254" t="s">
        <v>2823</v>
      </c>
      <c r="G88" s="1240">
        <v>50000000</v>
      </c>
      <c r="H88" s="1240">
        <v>100000000</v>
      </c>
      <c r="I88" s="1260">
        <v>100000000</v>
      </c>
      <c r="J88" s="1194" t="s">
        <v>2824</v>
      </c>
      <c r="K88" s="1194" t="s">
        <v>3141</v>
      </c>
      <c r="L88" s="1194">
        <v>1</v>
      </c>
      <c r="M88" s="1404">
        <v>0</v>
      </c>
      <c r="N88" s="709" t="s">
        <v>3898</v>
      </c>
      <c r="O88" s="174" t="s">
        <v>3145</v>
      </c>
      <c r="P88" s="155">
        <v>30000000</v>
      </c>
      <c r="Q88" s="155">
        <f>+P88</f>
        <v>30000000</v>
      </c>
      <c r="R88" s="151">
        <v>510</v>
      </c>
      <c r="S88" s="157">
        <f t="shared" ref="S88:S94" si="60">+Q88-U88</f>
        <v>-13990000</v>
      </c>
      <c r="T88" s="1402"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183"/>
      <c r="B89" s="1255"/>
      <c r="C89" s="1183"/>
      <c r="D89" s="1255"/>
      <c r="E89" s="1183"/>
      <c r="F89" s="1255"/>
      <c r="G89" s="1241"/>
      <c r="H89" s="1241"/>
      <c r="I89" s="1261"/>
      <c r="J89" s="1194"/>
      <c r="K89" s="1194"/>
      <c r="L89" s="1194"/>
      <c r="M89" s="1405"/>
      <c r="N89" s="709" t="s">
        <v>3899</v>
      </c>
      <c r="O89" s="174" t="s">
        <v>3900</v>
      </c>
      <c r="P89" s="155">
        <v>30000000</v>
      </c>
      <c r="Q89" s="155">
        <f>+P89</f>
        <v>30000000</v>
      </c>
      <c r="R89" s="151">
        <v>510</v>
      </c>
      <c r="S89" s="157">
        <f t="shared" si="60"/>
        <v>23990000</v>
      </c>
      <c r="T89" s="1403"/>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27" t="s">
        <v>2814</v>
      </c>
      <c r="B91" s="1254" t="s">
        <v>3138</v>
      </c>
      <c r="C91" s="1227" t="s">
        <v>3030</v>
      </c>
      <c r="D91" s="1254" t="s">
        <v>3259</v>
      </c>
      <c r="E91" s="1227" t="s">
        <v>3032</v>
      </c>
      <c r="F91" s="1254" t="s">
        <v>3340</v>
      </c>
      <c r="G91" s="1240">
        <v>4600000000</v>
      </c>
      <c r="H91" s="1240">
        <v>3500000000</v>
      </c>
      <c r="I91" s="1260">
        <v>3500000000</v>
      </c>
      <c r="J91" s="1194" t="s">
        <v>3035</v>
      </c>
      <c r="K91" s="1194" t="s">
        <v>3036</v>
      </c>
      <c r="L91" s="1194">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183"/>
      <c r="B92" s="1255"/>
      <c r="C92" s="1183"/>
      <c r="D92" s="1255"/>
      <c r="E92" s="1183"/>
      <c r="F92" s="1255"/>
      <c r="G92" s="1241"/>
      <c r="H92" s="1241"/>
      <c r="I92" s="1261"/>
      <c r="J92" s="1194"/>
      <c r="K92" s="1194"/>
      <c r="L92" s="1194"/>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183"/>
      <c r="B93" s="1255"/>
      <c r="C93" s="1183"/>
      <c r="D93" s="1255"/>
      <c r="E93" s="1183"/>
      <c r="F93" s="1255"/>
      <c r="G93" s="1256"/>
      <c r="H93" s="1256"/>
      <c r="I93" s="1262"/>
      <c r="J93" s="1191"/>
      <c r="K93" s="1191"/>
      <c r="L93" s="1191"/>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194" t="s">
        <v>2814</v>
      </c>
      <c r="B94" s="1194" t="s">
        <v>3138</v>
      </c>
      <c r="C94" s="1194" t="s">
        <v>3030</v>
      </c>
      <c r="D94" s="1194" t="s">
        <v>3259</v>
      </c>
      <c r="E94" s="1194" t="s">
        <v>3032</v>
      </c>
      <c r="F94" s="1194" t="s">
        <v>3188</v>
      </c>
      <c r="G94" s="1195">
        <v>300000000</v>
      </c>
      <c r="H94" s="1195">
        <v>680000000</v>
      </c>
      <c r="I94" s="1195">
        <v>680000000</v>
      </c>
      <c r="J94" s="1194" t="s">
        <v>3042</v>
      </c>
      <c r="K94" s="1194" t="s">
        <v>3226</v>
      </c>
      <c r="L94" s="1194">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194"/>
      <c r="B95" s="1194"/>
      <c r="C95" s="1194"/>
      <c r="D95" s="1194"/>
      <c r="E95" s="1194"/>
      <c r="F95" s="1194"/>
      <c r="G95" s="1195"/>
      <c r="H95" s="1195"/>
      <c r="I95" s="1195"/>
      <c r="J95" s="1194"/>
      <c r="K95" s="1194"/>
      <c r="L95" s="1194"/>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194"/>
      <c r="B96" s="1194"/>
      <c r="C96" s="1194"/>
      <c r="D96" s="1194"/>
      <c r="E96" s="1194"/>
      <c r="F96" s="1194"/>
      <c r="G96" s="1195"/>
      <c r="H96" s="1195"/>
      <c r="I96" s="1195"/>
      <c r="J96" s="1194"/>
      <c r="K96" s="1194"/>
      <c r="L96" s="1194"/>
      <c r="M96" s="729">
        <v>0</v>
      </c>
      <c r="N96" s="2" t="s">
        <v>3911</v>
      </c>
      <c r="O96" s="174" t="s">
        <v>3910</v>
      </c>
      <c r="P96" s="155">
        <v>10000000</v>
      </c>
      <c r="Q96" s="155">
        <v>21763332</v>
      </c>
      <c r="R96" s="151">
        <v>211</v>
      </c>
      <c r="S96" s="157">
        <f t="shared" ref="S96:S103" si="72">+Q96-U96</f>
        <v>-138236668</v>
      </c>
      <c r="T96" s="1308"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194"/>
      <c r="B97" s="1194"/>
      <c r="C97" s="1194"/>
      <c r="D97" s="1194"/>
      <c r="E97" s="1194"/>
      <c r="F97" s="1194"/>
      <c r="G97" s="1195"/>
      <c r="H97" s="1195"/>
      <c r="I97" s="1195"/>
      <c r="J97" s="1194"/>
      <c r="K97" s="1194"/>
      <c r="L97" s="1194"/>
      <c r="M97" s="128"/>
      <c r="N97" s="2" t="s">
        <v>3912</v>
      </c>
      <c r="O97" s="174" t="s">
        <v>3917</v>
      </c>
      <c r="P97" s="155">
        <v>30000000</v>
      </c>
      <c r="Q97" s="155">
        <v>68513332</v>
      </c>
      <c r="R97" s="151">
        <v>211</v>
      </c>
      <c r="S97" s="157">
        <f t="shared" si="72"/>
        <v>-81621449</v>
      </c>
      <c r="T97" s="1308"/>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194"/>
      <c r="B98" s="1194"/>
      <c r="C98" s="1194"/>
      <c r="D98" s="1194"/>
      <c r="E98" s="1194"/>
      <c r="F98" s="1194"/>
      <c r="G98" s="1195"/>
      <c r="H98" s="1195"/>
      <c r="I98" s="1195"/>
      <c r="J98" s="1194"/>
      <c r="K98" s="1194"/>
      <c r="L98" s="1194"/>
      <c r="M98" s="128"/>
      <c r="N98" s="2" t="s">
        <v>3913</v>
      </c>
      <c r="O98" s="174" t="s">
        <v>3918</v>
      </c>
      <c r="P98" s="155">
        <v>590000000</v>
      </c>
      <c r="Q98" s="155">
        <v>907756276</v>
      </c>
      <c r="R98" s="151">
        <v>211</v>
      </c>
      <c r="S98" s="157">
        <f t="shared" si="72"/>
        <v>888985876</v>
      </c>
      <c r="T98" s="1308"/>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194" t="s">
        <v>2814</v>
      </c>
      <c r="B99" s="1194" t="s">
        <v>3138</v>
      </c>
      <c r="C99" s="1194" t="s">
        <v>3030</v>
      </c>
      <c r="D99" s="1194" t="s">
        <v>3259</v>
      </c>
      <c r="E99" s="1194" t="s">
        <v>3032</v>
      </c>
      <c r="F99" s="1194" t="s">
        <v>3193</v>
      </c>
      <c r="G99" s="1195">
        <v>2300000000</v>
      </c>
      <c r="H99" s="1195">
        <v>2650000000</v>
      </c>
      <c r="I99" s="1195">
        <v>2750000000</v>
      </c>
      <c r="J99" s="1194" t="s">
        <v>3052</v>
      </c>
      <c r="K99" s="1194" t="s">
        <v>3227</v>
      </c>
      <c r="L99" s="1191">
        <v>16</v>
      </c>
      <c r="M99" s="106">
        <v>0</v>
      </c>
      <c r="N99" s="2" t="s">
        <v>3914</v>
      </c>
      <c r="O99" s="154" t="s">
        <v>3919</v>
      </c>
      <c r="P99" s="155">
        <v>100000000</v>
      </c>
      <c r="Q99" s="155">
        <v>86318000</v>
      </c>
      <c r="R99" s="151">
        <v>211</v>
      </c>
      <c r="S99" s="157">
        <f t="shared" si="72"/>
        <v>68318000</v>
      </c>
      <c r="T99" s="1308"/>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194"/>
      <c r="B100" s="1194"/>
      <c r="C100" s="1194"/>
      <c r="D100" s="1194"/>
      <c r="E100" s="1194"/>
      <c r="F100" s="1194"/>
      <c r="G100" s="1195"/>
      <c r="H100" s="1195"/>
      <c r="I100" s="1195"/>
      <c r="J100" s="1194"/>
      <c r="K100" s="1194"/>
      <c r="L100" s="1192"/>
      <c r="M100" s="724"/>
      <c r="N100" s="2" t="s">
        <v>3915</v>
      </c>
      <c r="O100" s="154" t="s">
        <v>3920</v>
      </c>
      <c r="P100" s="155">
        <v>100000000</v>
      </c>
      <c r="Q100" s="155">
        <v>400049000</v>
      </c>
      <c r="R100" s="151">
        <v>211</v>
      </c>
      <c r="S100" s="157">
        <f t="shared" si="72"/>
        <v>395049000</v>
      </c>
      <c r="T100" s="1308"/>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194"/>
      <c r="B101" s="1194"/>
      <c r="C101" s="1194"/>
      <c r="D101" s="1194"/>
      <c r="E101" s="1194"/>
      <c r="F101" s="1194"/>
      <c r="G101" s="1195"/>
      <c r="H101" s="1195"/>
      <c r="I101" s="1195"/>
      <c r="J101" s="1194"/>
      <c r="K101" s="1194"/>
      <c r="L101" s="1192"/>
      <c r="M101" s="724"/>
      <c r="N101" s="2" t="s">
        <v>3921</v>
      </c>
      <c r="O101" s="154" t="s">
        <v>3924</v>
      </c>
      <c r="P101" s="155">
        <v>50000000</v>
      </c>
      <c r="Q101" s="155">
        <v>14752000</v>
      </c>
      <c r="R101" s="151">
        <v>211</v>
      </c>
      <c r="S101" s="157">
        <f t="shared" si="72"/>
        <v>9752000</v>
      </c>
      <c r="T101" s="1264"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194"/>
      <c r="B102" s="1194"/>
      <c r="C102" s="1194"/>
      <c r="D102" s="1194"/>
      <c r="E102" s="1194"/>
      <c r="F102" s="1194"/>
      <c r="G102" s="1195"/>
      <c r="H102" s="1195"/>
      <c r="I102" s="1195"/>
      <c r="J102" s="1194"/>
      <c r="K102" s="1194"/>
      <c r="L102" s="1192"/>
      <c r="M102" s="724"/>
      <c r="N102" s="2" t="s">
        <v>3922</v>
      </c>
      <c r="O102" s="154" t="s">
        <v>3925</v>
      </c>
      <c r="P102" s="155">
        <v>150000000</v>
      </c>
      <c r="Q102" s="155">
        <v>689156673</v>
      </c>
      <c r="R102" s="151">
        <v>211</v>
      </c>
      <c r="S102" s="157">
        <f t="shared" si="72"/>
        <v>675655933</v>
      </c>
      <c r="T102" s="1264"/>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194"/>
      <c r="B103" s="1194"/>
      <c r="C103" s="1194"/>
      <c r="D103" s="1194"/>
      <c r="E103" s="1194"/>
      <c r="F103" s="1194"/>
      <c r="G103" s="1195"/>
      <c r="H103" s="1195"/>
      <c r="I103" s="1195"/>
      <c r="J103" s="1194"/>
      <c r="K103" s="1194"/>
      <c r="L103" s="1192"/>
      <c r="M103" s="724"/>
      <c r="N103" s="2" t="s">
        <v>3923</v>
      </c>
      <c r="O103" s="154" t="s">
        <v>3926</v>
      </c>
      <c r="P103" s="155">
        <v>150000000</v>
      </c>
      <c r="Q103" s="155">
        <v>626977688</v>
      </c>
      <c r="R103" s="151">
        <v>211</v>
      </c>
      <c r="S103" s="157">
        <f t="shared" si="72"/>
        <v>616977688</v>
      </c>
      <c r="T103" s="1265"/>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194"/>
      <c r="B104" s="1194"/>
      <c r="C104" s="1194"/>
      <c r="D104" s="1194"/>
      <c r="E104" s="1194"/>
      <c r="F104" s="1194"/>
      <c r="G104" s="1195"/>
      <c r="H104" s="1195"/>
      <c r="I104" s="1195"/>
      <c r="J104" s="1194"/>
      <c r="K104" s="1194"/>
      <c r="L104" s="1192"/>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194"/>
      <c r="B105" s="1194"/>
      <c r="C105" s="1194"/>
      <c r="D105" s="1194"/>
      <c r="E105" s="1194"/>
      <c r="F105" s="1194"/>
      <c r="G105" s="1195"/>
      <c r="H105" s="1195"/>
      <c r="I105" s="1195"/>
      <c r="J105" s="1194"/>
      <c r="K105" s="1194"/>
      <c r="L105" s="1192"/>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194"/>
      <c r="B106" s="1194"/>
      <c r="C106" s="1194"/>
      <c r="D106" s="1194"/>
      <c r="E106" s="1194"/>
      <c r="F106" s="1194"/>
      <c r="G106" s="1195"/>
      <c r="H106" s="1195"/>
      <c r="I106" s="1195"/>
      <c r="J106" s="1194"/>
      <c r="K106" s="1194"/>
      <c r="L106" s="1192"/>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194"/>
      <c r="B107" s="1194"/>
      <c r="C107" s="1194"/>
      <c r="D107" s="1194"/>
      <c r="E107" s="1194"/>
      <c r="F107" s="1194"/>
      <c r="G107" s="1195"/>
      <c r="H107" s="1195"/>
      <c r="I107" s="1195"/>
      <c r="J107" s="1194"/>
      <c r="K107" s="1194"/>
      <c r="L107" s="1192"/>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194"/>
      <c r="B108" s="1194"/>
      <c r="C108" s="1194"/>
      <c r="D108" s="1194"/>
      <c r="E108" s="1194"/>
      <c r="F108" s="1194"/>
      <c r="G108" s="1195"/>
      <c r="H108" s="1195"/>
      <c r="I108" s="1195"/>
      <c r="J108" s="1194"/>
      <c r="K108" s="1194"/>
      <c r="L108" s="1192"/>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194"/>
      <c r="B109" s="1194"/>
      <c r="C109" s="1194"/>
      <c r="D109" s="1194"/>
      <c r="E109" s="1194"/>
      <c r="F109" s="1194"/>
      <c r="G109" s="1195"/>
      <c r="H109" s="1195"/>
      <c r="I109" s="1195"/>
      <c r="J109" s="1194"/>
      <c r="K109" s="1194"/>
      <c r="L109" s="1192"/>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194"/>
      <c r="B110" s="1194"/>
      <c r="C110" s="1194"/>
      <c r="D110" s="1194"/>
      <c r="E110" s="1194"/>
      <c r="F110" s="1194"/>
      <c r="G110" s="1195"/>
      <c r="H110" s="1195"/>
      <c r="I110" s="1195"/>
      <c r="J110" s="1194"/>
      <c r="K110" s="1194"/>
      <c r="L110" s="1192"/>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194"/>
      <c r="B111" s="1194"/>
      <c r="C111" s="1194"/>
      <c r="D111" s="1194"/>
      <c r="E111" s="1194"/>
      <c r="F111" s="1194"/>
      <c r="G111" s="1195"/>
      <c r="H111" s="1195"/>
      <c r="I111" s="1195"/>
      <c r="J111" s="1194"/>
      <c r="K111" s="1194"/>
      <c r="L111" s="1192"/>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194"/>
      <c r="B112" s="1194"/>
      <c r="C112" s="1194"/>
      <c r="D112" s="1194"/>
      <c r="E112" s="1194"/>
      <c r="F112" s="1194"/>
      <c r="G112" s="1195"/>
      <c r="H112" s="1195"/>
      <c r="I112" s="1195"/>
      <c r="J112" s="1194"/>
      <c r="K112" s="1194"/>
      <c r="L112" s="1192"/>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194"/>
      <c r="B113" s="1194"/>
      <c r="C113" s="1194"/>
      <c r="D113" s="1194"/>
      <c r="E113" s="1194"/>
      <c r="F113" s="1194"/>
      <c r="G113" s="1195"/>
      <c r="H113" s="1195"/>
      <c r="I113" s="1195"/>
      <c r="J113" s="1194"/>
      <c r="K113" s="1194"/>
      <c r="L113" s="1192"/>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194"/>
      <c r="B114" s="1194"/>
      <c r="C114" s="1194"/>
      <c r="D114" s="1194"/>
      <c r="E114" s="1194"/>
      <c r="F114" s="1194"/>
      <c r="G114" s="1195"/>
      <c r="H114" s="1195"/>
      <c r="I114" s="1195"/>
      <c r="J114" s="1194"/>
      <c r="K114" s="1194"/>
      <c r="L114" s="1192"/>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194"/>
      <c r="B115" s="1194"/>
      <c r="C115" s="1194"/>
      <c r="D115" s="1194"/>
      <c r="E115" s="1194"/>
      <c r="F115" s="1194"/>
      <c r="G115" s="1195"/>
      <c r="H115" s="1195"/>
      <c r="I115" s="1195"/>
      <c r="J115" s="1194"/>
      <c r="K115" s="1194"/>
      <c r="L115" s="1192"/>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194"/>
      <c r="B116" s="1194"/>
      <c r="C116" s="1194"/>
      <c r="D116" s="1194"/>
      <c r="E116" s="1194"/>
      <c r="F116" s="1194"/>
      <c r="G116" s="1195"/>
      <c r="H116" s="1195"/>
      <c r="I116" s="1195"/>
      <c r="J116" s="1194"/>
      <c r="K116" s="1194"/>
      <c r="L116" s="1192"/>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194"/>
      <c r="B117" s="1194"/>
      <c r="C117" s="1192"/>
      <c r="D117" s="1192"/>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194"/>
      <c r="B118" s="1194"/>
      <c r="C118" s="1192"/>
      <c r="D118" s="1192"/>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194"/>
      <c r="B119" s="1194"/>
      <c r="C119" s="1192"/>
      <c r="D119" s="1192"/>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194"/>
      <c r="B120" s="1194"/>
      <c r="C120" s="1192"/>
      <c r="D120" s="1192"/>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194"/>
      <c r="B121" s="1194"/>
      <c r="C121" s="1192"/>
      <c r="D121" s="1192"/>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194"/>
      <c r="B122" s="1194"/>
      <c r="C122" s="1192"/>
      <c r="D122" s="1192"/>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194"/>
      <c r="B123" s="1194"/>
      <c r="C123" s="1192"/>
      <c r="D123" s="1192"/>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194"/>
      <c r="B124" s="1194"/>
      <c r="C124" s="1192"/>
      <c r="D124" s="1192"/>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194"/>
      <c r="B125" s="1194"/>
      <c r="C125" s="1192"/>
      <c r="D125" s="1192"/>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194"/>
      <c r="B126" s="1194"/>
      <c r="C126" s="1192"/>
      <c r="D126" s="1192"/>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194"/>
      <c r="B127" s="1194"/>
      <c r="C127" s="1192"/>
      <c r="D127" s="1192"/>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194"/>
      <c r="B128" s="1194"/>
      <c r="C128" s="1192"/>
      <c r="D128" s="1192"/>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194"/>
      <c r="B129" s="1194"/>
      <c r="C129" s="1192"/>
      <c r="D129" s="1192"/>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194"/>
      <c r="B130" s="1194"/>
      <c r="C130" s="1192"/>
      <c r="D130" s="1192"/>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194"/>
      <c r="B131" s="1194"/>
      <c r="C131" s="1192"/>
      <c r="D131" s="1192"/>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194"/>
      <c r="B132" s="1194"/>
      <c r="C132" s="1192"/>
      <c r="D132" s="1192"/>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194"/>
      <c r="B133" s="1194"/>
      <c r="C133" s="1192"/>
      <c r="D133" s="1192"/>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194"/>
      <c r="B134" s="1194"/>
      <c r="C134" s="1192"/>
      <c r="D134" s="1192"/>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194"/>
      <c r="B135" s="1194"/>
      <c r="C135" s="1192"/>
      <c r="D135" s="1192"/>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194"/>
      <c r="B136" s="1194"/>
      <c r="C136" s="1192"/>
      <c r="D136" s="1192"/>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194"/>
      <c r="B137" s="1194"/>
      <c r="C137" s="1192"/>
      <c r="D137" s="1192"/>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194"/>
      <c r="B138" s="1194"/>
      <c r="C138" s="1192"/>
      <c r="D138" s="1192"/>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194"/>
      <c r="B139" s="1194"/>
      <c r="C139" s="1192"/>
      <c r="D139" s="1192"/>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194"/>
      <c r="B140" s="1194"/>
      <c r="C140" s="1192"/>
      <c r="D140" s="1192"/>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194"/>
      <c r="B141" s="1194"/>
      <c r="C141" s="1192"/>
      <c r="D141" s="1192"/>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194"/>
      <c r="B142" s="1194"/>
      <c r="C142" s="1192"/>
      <c r="D142" s="1192"/>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194"/>
      <c r="B143" s="1194"/>
      <c r="C143" s="1192"/>
      <c r="D143" s="1192"/>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194"/>
      <c r="B144" s="1194"/>
      <c r="C144" s="1192"/>
      <c r="D144" s="1192"/>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194"/>
      <c r="B145" s="1194"/>
      <c r="C145" s="1193"/>
      <c r="D145" s="1193"/>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194" t="s">
        <v>3408</v>
      </c>
      <c r="B146" s="1194"/>
      <c r="C146" s="1194"/>
      <c r="D146" s="1194"/>
      <c r="E146" s="1194"/>
      <c r="F146" s="1194"/>
      <c r="G146" s="728">
        <f>SUM(G88:G145)</f>
        <v>7265000000</v>
      </c>
      <c r="H146" s="728">
        <f>SUM(H88:H145)</f>
        <v>7025000000</v>
      </c>
      <c r="I146" s="728">
        <f>SUM(I88:I145)</f>
        <v>7125000000</v>
      </c>
      <c r="J146" s="1233"/>
      <c r="K146" s="1248"/>
      <c r="L146" s="1248"/>
      <c r="M146" s="1266"/>
      <c r="N146" s="1194" t="s">
        <v>3408</v>
      </c>
      <c r="O146" s="1194"/>
      <c r="P146" s="1194"/>
      <c r="Q146" s="1194"/>
      <c r="R146" s="1194"/>
      <c r="S146" s="1194"/>
      <c r="T146" s="1194"/>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194" t="s">
        <v>3409</v>
      </c>
      <c r="B150" s="1194"/>
      <c r="C150" s="1194"/>
      <c r="D150" s="1194"/>
      <c r="E150" s="1194"/>
      <c r="F150" s="1194"/>
      <c r="G150" s="728">
        <f>SUM(G148:G148)</f>
        <v>25000000</v>
      </c>
      <c r="H150" s="728">
        <f>SUM(H148:H148)</f>
        <v>25000000</v>
      </c>
      <c r="I150" s="728"/>
      <c r="J150" s="1194"/>
      <c r="K150" s="1194"/>
      <c r="L150" s="1194"/>
      <c r="M150" s="1194"/>
      <c r="N150" s="1194" t="s">
        <v>3409</v>
      </c>
      <c r="O150" s="1194"/>
      <c r="P150" s="1194"/>
      <c r="Q150" s="1194"/>
      <c r="R150" s="1194"/>
      <c r="S150" s="1194"/>
      <c r="T150" s="1194"/>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399"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400"/>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400"/>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401"/>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83"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84"/>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305"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305"/>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264"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264"/>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264"/>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264"/>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27" t="s">
        <v>2826</v>
      </c>
      <c r="B165" s="1254" t="s">
        <v>2827</v>
      </c>
      <c r="C165" s="1227" t="s">
        <v>2840</v>
      </c>
      <c r="D165" s="1254" t="s">
        <v>434</v>
      </c>
      <c r="E165" s="1227" t="s">
        <v>2870</v>
      </c>
      <c r="F165" s="1254" t="s">
        <v>3149</v>
      </c>
      <c r="G165" s="1240">
        <v>200000000</v>
      </c>
      <c r="H165" s="1240">
        <v>200000000</v>
      </c>
      <c r="I165" s="1210">
        <v>200000000</v>
      </c>
      <c r="J165" s="1191" t="s">
        <v>2876</v>
      </c>
      <c r="K165" s="1191" t="s">
        <v>3216</v>
      </c>
      <c r="L165" s="1191">
        <v>2</v>
      </c>
      <c r="M165" s="106">
        <v>0</v>
      </c>
      <c r="N165" s="2" t="s">
        <v>4016</v>
      </c>
      <c r="O165" s="154" t="s">
        <v>672</v>
      </c>
      <c r="P165" s="155">
        <v>120000000</v>
      </c>
      <c r="Q165" s="155">
        <v>365975023</v>
      </c>
      <c r="R165" s="151">
        <v>301</v>
      </c>
      <c r="S165" s="157">
        <f t="shared" si="101"/>
        <v>150975023</v>
      </c>
      <c r="T165" s="1264"/>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183"/>
      <c r="B166" s="1255"/>
      <c r="C166" s="1183"/>
      <c r="D166" s="1255"/>
      <c r="E166" s="1183"/>
      <c r="F166" s="1255"/>
      <c r="G166" s="1241"/>
      <c r="H166" s="1241"/>
      <c r="I166" s="1211"/>
      <c r="J166" s="1192"/>
      <c r="K166" s="1192"/>
      <c r="L166" s="1192"/>
      <c r="M166" s="102"/>
      <c r="N166" s="2" t="s">
        <v>4017</v>
      </c>
      <c r="O166" s="171" t="s">
        <v>128</v>
      </c>
      <c r="P166" s="172">
        <v>80000000</v>
      </c>
      <c r="Q166" s="172">
        <v>117299875</v>
      </c>
      <c r="R166" s="561">
        <v>301</v>
      </c>
      <c r="S166" s="232">
        <f t="shared" si="101"/>
        <v>1299875</v>
      </c>
      <c r="T166" s="1264"/>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194" t="s">
        <v>3410</v>
      </c>
      <c r="B167" s="1194"/>
      <c r="C167" s="1194"/>
      <c r="D167" s="1194"/>
      <c r="E167" s="1194"/>
      <c r="F167" s="1194"/>
      <c r="G167" s="728">
        <f>SUM(G152:G166)</f>
        <v>1060000000</v>
      </c>
      <c r="H167" s="728">
        <f>SUM(H152:H166)</f>
        <v>1185000000</v>
      </c>
      <c r="I167" s="728"/>
      <c r="J167" s="1194"/>
      <c r="K167" s="1194"/>
      <c r="L167" s="1194"/>
      <c r="M167" s="1194"/>
      <c r="N167" s="1194" t="s">
        <v>3410</v>
      </c>
      <c r="O167" s="1194"/>
      <c r="P167" s="1194"/>
      <c r="Q167" s="1194"/>
      <c r="R167" s="1194"/>
      <c r="S167" s="1194"/>
      <c r="T167" s="1194"/>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194" t="s">
        <v>3411</v>
      </c>
      <c r="B181" s="1194"/>
      <c r="C181" s="1194"/>
      <c r="D181" s="1194"/>
      <c r="E181" s="1194"/>
      <c r="F181" s="1194"/>
      <c r="G181" s="728">
        <f>SUM(G170:G178)</f>
        <v>700000000</v>
      </c>
      <c r="H181" s="728">
        <f>SUM(H170:H178)</f>
        <v>1100000000</v>
      </c>
      <c r="I181" s="728"/>
      <c r="J181" s="1194"/>
      <c r="K181" s="1194"/>
      <c r="L181" s="1194"/>
      <c r="M181" s="1194"/>
      <c r="N181" s="1191" t="s">
        <v>3411</v>
      </c>
      <c r="O181" s="1191"/>
      <c r="P181" s="1191"/>
      <c r="Q181" s="1191"/>
      <c r="R181" s="1191"/>
      <c r="S181" s="1191"/>
      <c r="T181" s="1191"/>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395"/>
      <c r="B182" s="1395"/>
      <c r="C182" s="1395"/>
      <c r="D182" s="1395"/>
      <c r="E182" s="1395"/>
      <c r="F182" s="1396"/>
      <c r="G182" s="723"/>
      <c r="H182" s="723"/>
      <c r="I182" s="726"/>
      <c r="J182" s="1397"/>
      <c r="K182" s="1397"/>
      <c r="L182" s="1397"/>
      <c r="M182" s="240"/>
      <c r="N182" s="1398"/>
      <c r="O182" s="1398"/>
      <c r="P182" s="1398"/>
      <c r="Q182" s="1398"/>
      <c r="R182" s="1398"/>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389" t="s">
        <v>622</v>
      </c>
      <c r="B183" s="1389"/>
      <c r="C183" s="1389"/>
      <c r="D183" s="1389"/>
      <c r="E183" s="1389"/>
      <c r="F183" s="1390"/>
      <c r="G183" s="147">
        <f>+G181+G167+G150+G146+G86+G21+G10</f>
        <v>12593000000</v>
      </c>
      <c r="H183" s="147">
        <f>+H181+H167+H150+H146+H86+H21+H10</f>
        <v>13128000000</v>
      </c>
      <c r="I183" s="715">
        <f>SUM(I4:I178)</f>
        <v>22108000000</v>
      </c>
      <c r="J183" s="1391"/>
      <c r="K183" s="1392"/>
      <c r="L183" s="1392"/>
      <c r="M183" s="1393"/>
      <c r="N183" s="1247" t="s">
        <v>622</v>
      </c>
      <c r="O183" s="1394"/>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76" t="s">
        <v>3302</v>
      </c>
      <c r="K185" s="1277"/>
      <c r="L185" s="1277"/>
      <c r="M185" s="1277"/>
      <c r="N185" s="1277"/>
      <c r="O185" s="1278"/>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388"/>
      <c r="C186" s="1388"/>
      <c r="D186" s="1388"/>
      <c r="E186" s="1388"/>
      <c r="F186" s="1388"/>
      <c r="G186" s="133">
        <f>SUMIF($R$4:$R$178,"211",$G$4:$G$178)</f>
        <v>3000000000</v>
      </c>
      <c r="H186" s="178">
        <f>SUMIF($R$4:$R$178,"211",$H$4:$H$178)</f>
        <v>3750000000</v>
      </c>
      <c r="I186" s="133">
        <f>SUMIF($R$4:$R$178,"211",$I$4:$I$178)</f>
        <v>3850000000</v>
      </c>
      <c r="J186" s="1276" t="s">
        <v>3303</v>
      </c>
      <c r="K186" s="1277"/>
      <c r="L186" s="1277"/>
      <c r="M186" s="1277"/>
      <c r="N186" s="1277"/>
      <c r="O186" s="1278"/>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388"/>
      <c r="C187" s="1388"/>
      <c r="D187" s="1388"/>
      <c r="E187" s="1388"/>
      <c r="F187" s="1388"/>
      <c r="G187" s="133">
        <f>SUMIF($R$4:$R$178,"310",$G$4:$G$178)</f>
        <v>1200000000</v>
      </c>
      <c r="H187" s="178">
        <f>SUMIF($R$4:$R$178,"310",$H$4:$H$178)</f>
        <v>1300000000</v>
      </c>
      <c r="I187" s="133">
        <f>SUMIF($R$4:$R$178,"310",$I$4:$I$178)</f>
        <v>1300000000</v>
      </c>
      <c r="J187" s="1276" t="s">
        <v>3304</v>
      </c>
      <c r="K187" s="1277"/>
      <c r="L187" s="1277"/>
      <c r="M187" s="1277"/>
      <c r="N187" s="1277"/>
      <c r="O187" s="1278"/>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388"/>
      <c r="C188" s="1388"/>
      <c r="D188" s="1388"/>
      <c r="E188" s="1388"/>
      <c r="F188" s="1388"/>
      <c r="G188" s="133">
        <f>SUMIF($R$4:$R$178,"410",$G$4:$G$178)</f>
        <v>1658000000</v>
      </c>
      <c r="H188" s="178">
        <f>SUMIF($R$4:$R$178,"410",$H$4:$H$178)</f>
        <v>1823000000</v>
      </c>
      <c r="I188" s="133">
        <f>SUMIF($R$4:$R$178,"410",$I$4:$I$178)</f>
        <v>1823000000</v>
      </c>
      <c r="J188" s="1273" t="s">
        <v>443</v>
      </c>
      <c r="K188" s="1274"/>
      <c r="L188" s="1274"/>
      <c r="M188" s="1274"/>
      <c r="N188" s="1274"/>
      <c r="O188" s="1275"/>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388"/>
      <c r="C189" s="1388"/>
      <c r="D189" s="1388"/>
      <c r="E189" s="1388"/>
      <c r="F189" s="1388"/>
      <c r="G189" s="133">
        <f>SUMIF($R$4:$R$178,"510",$G$4:$G$178)</f>
        <v>640000000</v>
      </c>
      <c r="H189" s="178">
        <f>SUMIF($R$4:$R$178,"510",$H$4:$H$178)</f>
        <v>660000000</v>
      </c>
      <c r="I189" s="133">
        <f>SUMIF($R$4:$R$178,"510",$I$4:$I$178)</f>
        <v>810000000</v>
      </c>
      <c r="J189" s="1273" t="s">
        <v>3305</v>
      </c>
      <c r="K189" s="1274"/>
      <c r="L189" s="1274"/>
      <c r="M189" s="1274"/>
      <c r="N189" s="1274"/>
      <c r="O189" s="1275"/>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388"/>
      <c r="C190" s="1388"/>
      <c r="D190" s="1388"/>
      <c r="E190" s="1388"/>
      <c r="F190" s="1388"/>
      <c r="G190" s="133">
        <f>SUMIF($R$4:$R$178,"520",$G$4:$G$178)</f>
        <v>275000000</v>
      </c>
      <c r="H190" s="178">
        <f>SUMIF($R$4:$R$178,"520",$H$4:$H$178)</f>
        <v>290000000</v>
      </c>
      <c r="I190" s="133">
        <f>SUMIF($R$4:$R$178,"520",$I$4:$I$178)</f>
        <v>290000000</v>
      </c>
      <c r="J190" s="1273" t="s">
        <v>3306</v>
      </c>
      <c r="K190" s="1274"/>
      <c r="L190" s="1274"/>
      <c r="M190" s="1274"/>
      <c r="N190" s="1274"/>
      <c r="O190" s="1275"/>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387"/>
      <c r="B191" s="1387"/>
      <c r="C191" s="1387"/>
      <c r="D191" s="1387"/>
      <c r="E191" s="1387"/>
      <c r="F191" s="1387"/>
      <c r="G191" s="3">
        <f>SUM(G185:G190)</f>
        <v>11683000000</v>
      </c>
      <c r="H191" s="179">
        <f>SUM(H185:H190)</f>
        <v>12093000000</v>
      </c>
      <c r="I191" s="3">
        <f>SUM(I185:I190)</f>
        <v>12343000000</v>
      </c>
      <c r="J191" s="1273" t="s">
        <v>3308</v>
      </c>
      <c r="K191" s="1274"/>
      <c r="L191" s="1274"/>
      <c r="M191" s="1274"/>
      <c r="N191" s="1274"/>
      <c r="O191" s="1275"/>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388"/>
      <c r="C192" s="1388"/>
      <c r="D192" s="1388"/>
      <c r="E192" s="1388"/>
      <c r="F192" s="1388"/>
      <c r="G192" s="133">
        <f>SUMIF($R$4:$R$178,"301",$G$4:$G$178)</f>
        <v>910000000</v>
      </c>
      <c r="H192" s="178">
        <f>SUMIF($R$4:$R$178,"301",$H$4:$H$178)</f>
        <v>1035000000</v>
      </c>
      <c r="I192" s="133">
        <f>SUMIF($R$4:$R$178,"301",$I$4:$I$178)</f>
        <v>1035000000</v>
      </c>
      <c r="J192" s="1273" t="s">
        <v>3307</v>
      </c>
      <c r="K192" s="1274"/>
      <c r="L192" s="1274"/>
      <c r="M192" s="1274"/>
      <c r="N192" s="1274"/>
      <c r="O192" s="1275"/>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387"/>
      <c r="B193" s="1387"/>
      <c r="C193" s="1387"/>
      <c r="D193" s="1387"/>
      <c r="E193" s="1387"/>
      <c r="F193" s="1387"/>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47:A60"/>
    <mergeCell ref="B47:B60"/>
    <mergeCell ref="C47:C60"/>
    <mergeCell ref="D47:D60"/>
    <mergeCell ref="T47:T48"/>
    <mergeCell ref="E49:E59"/>
    <mergeCell ref="F49:F59"/>
    <mergeCell ref="T49:T53"/>
    <mergeCell ref="T54:T59"/>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A86:F86"/>
    <mergeCell ref="J86:M86"/>
    <mergeCell ref="N86:T86"/>
    <mergeCell ref="A88:A89"/>
    <mergeCell ref="B88:B89"/>
    <mergeCell ref="C88:C89"/>
    <mergeCell ref="D88:D89"/>
    <mergeCell ref="E88:E89"/>
    <mergeCell ref="F88:F89"/>
    <mergeCell ref="G88:G89"/>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E99:E116"/>
    <mergeCell ref="F99:F116"/>
    <mergeCell ref="H94:H98"/>
    <mergeCell ref="I94:I98"/>
    <mergeCell ref="J94:J98"/>
    <mergeCell ref="K94:K98"/>
    <mergeCell ref="L94:L98"/>
    <mergeCell ref="T96:T100"/>
    <mergeCell ref="J91:J93"/>
    <mergeCell ref="K91:K93"/>
    <mergeCell ref="L91:L93"/>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83:F183"/>
    <mergeCell ref="J183:M183"/>
    <mergeCell ref="N183:O183"/>
    <mergeCell ref="J185:O185"/>
    <mergeCell ref="B186:F186"/>
    <mergeCell ref="J186:O186"/>
    <mergeCell ref="A181:F181"/>
    <mergeCell ref="J181:M181"/>
    <mergeCell ref="N181:T181"/>
    <mergeCell ref="A182:F182"/>
    <mergeCell ref="J182:L182"/>
    <mergeCell ref="N182:R182"/>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P.ACCION A OCTUBRE 2015</vt:lpstr>
      <vt:lpstr>P.ACCION A OCTUBRE consolidado</vt:lpstr>
      <vt:lpstr>P.ACCION A OCTUBRE consolid (2</vt:lpstr>
      <vt:lpstr>POAI2010!Área_de_impresión</vt:lpstr>
      <vt:lpstr>'MATRIZ DE SEGUIMIENTO PD'!Títulos_a_imprimir</vt:lpstr>
      <vt:lpstr>'P.ACCION A OCTUBRE 2015'!Títulos_a_imprimir</vt:lpstr>
      <vt:lpstr>'P.ACCION A OCTUBRE consolid (2'!Títulos_a_imprimir</vt:lpstr>
      <vt:lpstr>'P.ACCION A OCTUBRE consolidado'!Títulos_a_imprimir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2014-12-22T23:00:11Z</cp:lastPrinted>
  <dcterms:created xsi:type="dcterms:W3CDTF">2009-10-20T22:02:49Z</dcterms:created>
  <dcterms:modified xsi:type="dcterms:W3CDTF">2015-11-06T23:07:12Z</dcterms:modified>
</cp:coreProperties>
</file>